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zcorra\Documents\Arturo\5G NR Explained\"/>
    </mc:Choice>
  </mc:AlternateContent>
  <xr:revisionPtr revIDLastSave="0" documentId="13_ncr:1_{032743C7-A4AC-4885-9D66-8CAB67A6F62E}" xr6:coauthVersionLast="47" xr6:coauthVersionMax="47" xr10:uidLastSave="{00000000-0000-0000-0000-000000000000}"/>
  <bookViews>
    <workbookView xWindow="1890" yWindow="1320" windowWidth="25185" windowHeight="18210" activeTab="5" xr2:uid="{14E47E91-4C67-4E99-B5A4-28AA32FA9937}"/>
  </bookViews>
  <sheets>
    <sheet name="Fig_Channel" sheetId="4" r:id="rId1"/>
    <sheet name="Fig_PCH n257" sheetId="1" r:id="rId2"/>
    <sheet name="Freq Block" sheetId="7" r:id="rId3"/>
    <sheet name="Timing advance" sheetId="8" r:id="rId4"/>
    <sheet name="SSB and CORESET#0" sheetId="5" r:id="rId5"/>
    <sheet name="DCI 1_0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7" i="4" l="1"/>
  <c r="E44" i="4"/>
  <c r="D27" i="8"/>
  <c r="D25" i="8"/>
  <c r="D26" i="8"/>
  <c r="J9" i="8"/>
  <c r="I9" i="8"/>
  <c r="H9" i="8"/>
  <c r="G9" i="8"/>
  <c r="F9" i="8"/>
  <c r="E9" i="8"/>
  <c r="D9" i="8"/>
  <c r="C9" i="8"/>
  <c r="J22" i="8"/>
  <c r="I22" i="8"/>
  <c r="H22" i="8"/>
  <c r="G22" i="8"/>
  <c r="E22" i="8"/>
  <c r="F22" i="8"/>
  <c r="D22" i="8"/>
  <c r="D24" i="8"/>
  <c r="D23" i="8"/>
  <c r="F20" i="8"/>
  <c r="F21" i="8" s="1"/>
  <c r="E20" i="8"/>
  <c r="E21" i="8" s="1"/>
  <c r="D20" i="8"/>
  <c r="D21" i="8" s="1"/>
  <c r="E10" i="8"/>
  <c r="F10" i="8" s="1"/>
  <c r="F23" i="8" s="1"/>
  <c r="F24" i="8" s="1"/>
  <c r="B6" i="8"/>
  <c r="C12" i="8"/>
  <c r="C11" i="8"/>
  <c r="B60" i="7"/>
  <c r="B35" i="7"/>
  <c r="B34" i="7"/>
  <c r="B15" i="7"/>
  <c r="B14" i="7"/>
  <c r="B16" i="7" s="1"/>
  <c r="B59" i="7"/>
  <c r="B26" i="7"/>
  <c r="B25" i="7"/>
  <c r="A23" i="1"/>
  <c r="A14" i="1"/>
  <c r="B30" i="7"/>
  <c r="C2" i="6"/>
  <c r="D2" i="6" s="1"/>
  <c r="H2" i="6"/>
  <c r="G2" i="6" s="1"/>
  <c r="K2" i="6" s="1"/>
  <c r="I2" i="6"/>
  <c r="J2" i="6"/>
  <c r="E3" i="6"/>
  <c r="F3" i="6"/>
  <c r="H3" i="6" s="1"/>
  <c r="G3" i="6" s="1"/>
  <c r="K3" i="6" s="1"/>
  <c r="I3" i="6"/>
  <c r="J3" i="6"/>
  <c r="E4" i="6"/>
  <c r="J4" i="6" s="1"/>
  <c r="F4" i="6"/>
  <c r="H4" i="6" s="1"/>
  <c r="F5" i="6"/>
  <c r="H5" i="6" s="1"/>
  <c r="E22" i="5"/>
  <c r="F22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33" i="5"/>
  <c r="G53" i="5"/>
  <c r="G62" i="5" s="1"/>
  <c r="BB48" i="5"/>
  <c r="BA48" i="5"/>
  <c r="AZ48" i="5"/>
  <c r="AY48" i="5"/>
  <c r="AX48" i="5"/>
  <c r="AW48" i="5"/>
  <c r="AV48" i="5"/>
  <c r="AU48" i="5"/>
  <c r="BB47" i="5"/>
  <c r="BA47" i="5"/>
  <c r="AZ47" i="5"/>
  <c r="AY47" i="5"/>
  <c r="AX47" i="5"/>
  <c r="AW47" i="5"/>
  <c r="AV47" i="5"/>
  <c r="AU47" i="5"/>
  <c r="BB46" i="5"/>
  <c r="BA46" i="5"/>
  <c r="AZ46" i="5"/>
  <c r="AY46" i="5"/>
  <c r="AX46" i="5"/>
  <c r="AW46" i="5"/>
  <c r="AV46" i="5"/>
  <c r="AU46" i="5"/>
  <c r="BB45" i="5"/>
  <c r="BA45" i="5"/>
  <c r="AZ45" i="5"/>
  <c r="AY45" i="5"/>
  <c r="AX45" i="5"/>
  <c r="AW45" i="5"/>
  <c r="AV45" i="5"/>
  <c r="AU45" i="5"/>
  <c r="BB44" i="5"/>
  <c r="BA44" i="5"/>
  <c r="AZ44" i="5"/>
  <c r="AY44" i="5"/>
  <c r="AX44" i="5"/>
  <c r="AW44" i="5"/>
  <c r="AV44" i="5"/>
  <c r="AU44" i="5"/>
  <c r="BB43" i="5"/>
  <c r="BA43" i="5"/>
  <c r="AZ43" i="5"/>
  <c r="AY43" i="5"/>
  <c r="AX43" i="5"/>
  <c r="AW43" i="5"/>
  <c r="AV43" i="5"/>
  <c r="AU43" i="5"/>
  <c r="BB42" i="5"/>
  <c r="BA42" i="5"/>
  <c r="AZ42" i="5"/>
  <c r="AY42" i="5"/>
  <c r="AX42" i="5"/>
  <c r="AW42" i="5"/>
  <c r="AV42" i="5"/>
  <c r="AU42" i="5"/>
  <c r="BB41" i="5"/>
  <c r="BA41" i="5"/>
  <c r="AZ41" i="5"/>
  <c r="AY41" i="5"/>
  <c r="AX41" i="5"/>
  <c r="AW41" i="5"/>
  <c r="AV41" i="5"/>
  <c r="AU41" i="5"/>
  <c r="BB40" i="5"/>
  <c r="BA40" i="5"/>
  <c r="AZ40" i="5"/>
  <c r="AY40" i="5"/>
  <c r="AX40" i="5"/>
  <c r="AW40" i="5"/>
  <c r="AV40" i="5"/>
  <c r="AU40" i="5"/>
  <c r="BB39" i="5"/>
  <c r="BA39" i="5"/>
  <c r="AZ39" i="5"/>
  <c r="AY39" i="5"/>
  <c r="AX39" i="5"/>
  <c r="AW39" i="5"/>
  <c r="AV39" i="5"/>
  <c r="AU39" i="5"/>
  <c r="BB38" i="5"/>
  <c r="BA38" i="5"/>
  <c r="AZ38" i="5"/>
  <c r="AY38" i="5"/>
  <c r="AX38" i="5"/>
  <c r="AW38" i="5"/>
  <c r="AV38" i="5"/>
  <c r="AU38" i="5"/>
  <c r="BB37" i="5"/>
  <c r="BA37" i="5"/>
  <c r="AZ37" i="5"/>
  <c r="AY37" i="5"/>
  <c r="AX37" i="5"/>
  <c r="AW37" i="5"/>
  <c r="AV37" i="5"/>
  <c r="AU37" i="5"/>
  <c r="BB36" i="5"/>
  <c r="BA36" i="5"/>
  <c r="AZ36" i="5"/>
  <c r="AY36" i="5"/>
  <c r="AX36" i="5"/>
  <c r="AW36" i="5"/>
  <c r="AV36" i="5"/>
  <c r="AU36" i="5"/>
  <c r="BB35" i="5"/>
  <c r="BA35" i="5"/>
  <c r="AZ35" i="5"/>
  <c r="AY35" i="5"/>
  <c r="AX35" i="5"/>
  <c r="AW35" i="5"/>
  <c r="AV35" i="5"/>
  <c r="AU35" i="5"/>
  <c r="BB34" i="5"/>
  <c r="BA34" i="5"/>
  <c r="AZ34" i="5"/>
  <c r="AY34" i="5"/>
  <c r="AX34" i="5"/>
  <c r="AW34" i="5"/>
  <c r="AV34" i="5"/>
  <c r="AU34" i="5"/>
  <c r="BB33" i="5"/>
  <c r="BA33" i="5"/>
  <c r="AZ33" i="5"/>
  <c r="AY33" i="5"/>
  <c r="AX33" i="5"/>
  <c r="AW33" i="5"/>
  <c r="AV33" i="5"/>
  <c r="AT48" i="5"/>
  <c r="AS48" i="5"/>
  <c r="AR48" i="5"/>
  <c r="AQ48" i="5"/>
  <c r="AP48" i="5"/>
  <c r="AO48" i="5"/>
  <c r="AN48" i="5"/>
  <c r="AM48" i="5"/>
  <c r="AT47" i="5"/>
  <c r="AS47" i="5"/>
  <c r="AR47" i="5"/>
  <c r="AQ47" i="5"/>
  <c r="AP47" i="5"/>
  <c r="AO47" i="5"/>
  <c r="AN47" i="5"/>
  <c r="AM47" i="5"/>
  <c r="AT46" i="5"/>
  <c r="AS46" i="5"/>
  <c r="AR46" i="5"/>
  <c r="AQ46" i="5"/>
  <c r="AP46" i="5"/>
  <c r="AO46" i="5"/>
  <c r="AN46" i="5"/>
  <c r="AM46" i="5"/>
  <c r="AT45" i="5"/>
  <c r="AS45" i="5"/>
  <c r="AR45" i="5"/>
  <c r="AQ45" i="5"/>
  <c r="AP45" i="5"/>
  <c r="AO45" i="5"/>
  <c r="AN45" i="5"/>
  <c r="AM45" i="5"/>
  <c r="AT44" i="5"/>
  <c r="AS44" i="5"/>
  <c r="AR44" i="5"/>
  <c r="AQ44" i="5"/>
  <c r="AP44" i="5"/>
  <c r="AO44" i="5"/>
  <c r="AN44" i="5"/>
  <c r="AM44" i="5"/>
  <c r="AT43" i="5"/>
  <c r="AS43" i="5"/>
  <c r="AR43" i="5"/>
  <c r="AQ43" i="5"/>
  <c r="AP43" i="5"/>
  <c r="AO43" i="5"/>
  <c r="AN43" i="5"/>
  <c r="AM43" i="5"/>
  <c r="AT42" i="5"/>
  <c r="AS42" i="5"/>
  <c r="AR42" i="5"/>
  <c r="AQ42" i="5"/>
  <c r="AP42" i="5"/>
  <c r="AO42" i="5"/>
  <c r="AN42" i="5"/>
  <c r="AM42" i="5"/>
  <c r="AT41" i="5"/>
  <c r="AS41" i="5"/>
  <c r="AR41" i="5"/>
  <c r="AQ41" i="5"/>
  <c r="AP41" i="5"/>
  <c r="AO41" i="5"/>
  <c r="AN41" i="5"/>
  <c r="AM41" i="5"/>
  <c r="AT40" i="5"/>
  <c r="AS40" i="5"/>
  <c r="AR40" i="5"/>
  <c r="AQ40" i="5"/>
  <c r="AP40" i="5"/>
  <c r="AO40" i="5"/>
  <c r="AN40" i="5"/>
  <c r="AM40" i="5"/>
  <c r="AT39" i="5"/>
  <c r="AS39" i="5"/>
  <c r="AR39" i="5"/>
  <c r="AQ39" i="5"/>
  <c r="AP39" i="5"/>
  <c r="AO39" i="5"/>
  <c r="AN39" i="5"/>
  <c r="AM39" i="5"/>
  <c r="AT38" i="5"/>
  <c r="AS38" i="5"/>
  <c r="AR38" i="5"/>
  <c r="AQ38" i="5"/>
  <c r="AP38" i="5"/>
  <c r="AO38" i="5"/>
  <c r="AN38" i="5"/>
  <c r="AM38" i="5"/>
  <c r="AT37" i="5"/>
  <c r="AS37" i="5"/>
  <c r="AR37" i="5"/>
  <c r="AQ37" i="5"/>
  <c r="AP37" i="5"/>
  <c r="AO37" i="5"/>
  <c r="AN37" i="5"/>
  <c r="AM37" i="5"/>
  <c r="AT36" i="5"/>
  <c r="AS36" i="5"/>
  <c r="AR36" i="5"/>
  <c r="AQ36" i="5"/>
  <c r="AP36" i="5"/>
  <c r="AO36" i="5"/>
  <c r="AN36" i="5"/>
  <c r="AM36" i="5"/>
  <c r="AT35" i="5"/>
  <c r="AS35" i="5"/>
  <c r="AR35" i="5"/>
  <c r="AQ35" i="5"/>
  <c r="AP35" i="5"/>
  <c r="AO35" i="5"/>
  <c r="AN35" i="5"/>
  <c r="AM35" i="5"/>
  <c r="AT34" i="5"/>
  <c r="AS34" i="5"/>
  <c r="AR34" i="5"/>
  <c r="AQ34" i="5"/>
  <c r="AP34" i="5"/>
  <c r="AO34" i="5"/>
  <c r="AN34" i="5"/>
  <c r="AM34" i="5"/>
  <c r="AT33" i="5"/>
  <c r="AS33" i="5"/>
  <c r="AR33" i="5"/>
  <c r="AQ33" i="5"/>
  <c r="AP33" i="5"/>
  <c r="AO33" i="5"/>
  <c r="AN33" i="5"/>
  <c r="AL48" i="5"/>
  <c r="AK48" i="5"/>
  <c r="AJ48" i="5"/>
  <c r="AI48" i="5"/>
  <c r="AL47" i="5"/>
  <c r="AK47" i="5"/>
  <c r="AJ47" i="5"/>
  <c r="AI47" i="5"/>
  <c r="AL46" i="5"/>
  <c r="AK46" i="5"/>
  <c r="AJ46" i="5"/>
  <c r="AI46" i="5"/>
  <c r="AL45" i="5"/>
  <c r="AK45" i="5"/>
  <c r="AJ45" i="5"/>
  <c r="AI45" i="5"/>
  <c r="AL44" i="5"/>
  <c r="AK44" i="5"/>
  <c r="AJ44" i="5"/>
  <c r="AI44" i="5"/>
  <c r="AL43" i="5"/>
  <c r="AK43" i="5"/>
  <c r="AJ43" i="5"/>
  <c r="AI43" i="5"/>
  <c r="AL42" i="5"/>
  <c r="AK42" i="5"/>
  <c r="AJ42" i="5"/>
  <c r="AI42" i="5"/>
  <c r="AL41" i="5"/>
  <c r="AK41" i="5"/>
  <c r="AJ41" i="5"/>
  <c r="AI41" i="5"/>
  <c r="AL40" i="5"/>
  <c r="AK40" i="5"/>
  <c r="AJ40" i="5"/>
  <c r="AI40" i="5"/>
  <c r="AL39" i="5"/>
  <c r="AK39" i="5"/>
  <c r="AJ39" i="5"/>
  <c r="AI39" i="5"/>
  <c r="AL38" i="5"/>
  <c r="AK38" i="5"/>
  <c r="AJ38" i="5"/>
  <c r="AI38" i="5"/>
  <c r="AL37" i="5"/>
  <c r="AK37" i="5"/>
  <c r="AJ37" i="5"/>
  <c r="AI37" i="5"/>
  <c r="AL36" i="5"/>
  <c r="AK36" i="5"/>
  <c r="AJ36" i="5"/>
  <c r="AI36" i="5"/>
  <c r="AL35" i="5"/>
  <c r="AK35" i="5"/>
  <c r="AJ35" i="5"/>
  <c r="AI35" i="5"/>
  <c r="AL34" i="5"/>
  <c r="AK34" i="5"/>
  <c r="AJ34" i="5"/>
  <c r="AI34" i="5"/>
  <c r="AL33" i="5"/>
  <c r="AK33" i="5"/>
  <c r="AJ33" i="5"/>
  <c r="AI33" i="5"/>
  <c r="Y44" i="5"/>
  <c r="V34" i="5"/>
  <c r="W34" i="5"/>
  <c r="X34" i="5"/>
  <c r="Y34" i="5"/>
  <c r="Z34" i="5"/>
  <c r="AA34" i="5"/>
  <c r="AB34" i="5"/>
  <c r="AC34" i="5"/>
  <c r="V35" i="5"/>
  <c r="W35" i="5"/>
  <c r="X35" i="5"/>
  <c r="Y35" i="5"/>
  <c r="Z35" i="5"/>
  <c r="AA35" i="5"/>
  <c r="AB35" i="5"/>
  <c r="AC35" i="5"/>
  <c r="V36" i="5"/>
  <c r="W36" i="5"/>
  <c r="X36" i="5"/>
  <c r="Y36" i="5"/>
  <c r="Z36" i="5"/>
  <c r="AA36" i="5"/>
  <c r="AB36" i="5"/>
  <c r="AC36" i="5"/>
  <c r="V37" i="5"/>
  <c r="W37" i="5"/>
  <c r="X37" i="5"/>
  <c r="Y37" i="5"/>
  <c r="Z37" i="5"/>
  <c r="AA37" i="5"/>
  <c r="AB37" i="5"/>
  <c r="AC37" i="5"/>
  <c r="V38" i="5"/>
  <c r="W38" i="5"/>
  <c r="X38" i="5"/>
  <c r="Y38" i="5"/>
  <c r="Z38" i="5"/>
  <c r="AA38" i="5"/>
  <c r="AB38" i="5"/>
  <c r="AC38" i="5"/>
  <c r="V39" i="5"/>
  <c r="W39" i="5"/>
  <c r="X39" i="5"/>
  <c r="Y39" i="5"/>
  <c r="Z39" i="5"/>
  <c r="AA39" i="5"/>
  <c r="AB39" i="5"/>
  <c r="AC39" i="5"/>
  <c r="V40" i="5"/>
  <c r="W40" i="5"/>
  <c r="X40" i="5"/>
  <c r="Y40" i="5"/>
  <c r="Z40" i="5"/>
  <c r="AA40" i="5"/>
  <c r="AB40" i="5"/>
  <c r="AC40" i="5"/>
  <c r="V41" i="5"/>
  <c r="W41" i="5"/>
  <c r="X41" i="5"/>
  <c r="Y41" i="5"/>
  <c r="Z41" i="5"/>
  <c r="AA41" i="5"/>
  <c r="AB41" i="5"/>
  <c r="AC41" i="5"/>
  <c r="V42" i="5"/>
  <c r="W42" i="5"/>
  <c r="X42" i="5"/>
  <c r="Y42" i="5"/>
  <c r="Z42" i="5"/>
  <c r="AA42" i="5"/>
  <c r="AB42" i="5"/>
  <c r="AC42" i="5"/>
  <c r="V43" i="5"/>
  <c r="W43" i="5"/>
  <c r="X43" i="5"/>
  <c r="Y43" i="5"/>
  <c r="Z43" i="5"/>
  <c r="AA43" i="5"/>
  <c r="AB43" i="5"/>
  <c r="AC43" i="5"/>
  <c r="V44" i="5"/>
  <c r="W44" i="5"/>
  <c r="X44" i="5"/>
  <c r="Z44" i="5"/>
  <c r="AA44" i="5"/>
  <c r="AB44" i="5"/>
  <c r="AC44" i="5"/>
  <c r="V45" i="5"/>
  <c r="W45" i="5"/>
  <c r="X45" i="5"/>
  <c r="Y45" i="5"/>
  <c r="Z45" i="5"/>
  <c r="AA45" i="5"/>
  <c r="AB45" i="5"/>
  <c r="AC45" i="5"/>
  <c r="V46" i="5"/>
  <c r="W46" i="5"/>
  <c r="X46" i="5"/>
  <c r="Y46" i="5"/>
  <c r="Z46" i="5"/>
  <c r="AA46" i="5"/>
  <c r="AB46" i="5"/>
  <c r="AC46" i="5"/>
  <c r="V47" i="5"/>
  <c r="W47" i="5"/>
  <c r="X47" i="5"/>
  <c r="Y47" i="5"/>
  <c r="Z47" i="5"/>
  <c r="AA47" i="5"/>
  <c r="AB47" i="5"/>
  <c r="AC47" i="5"/>
  <c r="V48" i="5"/>
  <c r="W48" i="5"/>
  <c r="X48" i="5"/>
  <c r="Y48" i="5"/>
  <c r="Z48" i="5"/>
  <c r="AA48" i="5"/>
  <c r="AB48" i="5"/>
  <c r="AC48" i="5"/>
  <c r="W33" i="5"/>
  <c r="X33" i="5"/>
  <c r="Y33" i="5"/>
  <c r="Z33" i="5"/>
  <c r="AA33" i="5"/>
  <c r="AB33" i="5"/>
  <c r="AC33" i="5"/>
  <c r="U48" i="5"/>
  <c r="T48" i="5"/>
  <c r="S48" i="5"/>
  <c r="R48" i="5"/>
  <c r="Q48" i="5"/>
  <c r="P48" i="5"/>
  <c r="O48" i="5"/>
  <c r="N48" i="5"/>
  <c r="U47" i="5"/>
  <c r="T47" i="5"/>
  <c r="S47" i="5"/>
  <c r="R47" i="5"/>
  <c r="Q47" i="5"/>
  <c r="P47" i="5"/>
  <c r="O47" i="5"/>
  <c r="N47" i="5"/>
  <c r="U46" i="5"/>
  <c r="T46" i="5"/>
  <c r="S46" i="5"/>
  <c r="R46" i="5"/>
  <c r="Q46" i="5"/>
  <c r="P46" i="5"/>
  <c r="O46" i="5"/>
  <c r="N46" i="5"/>
  <c r="U45" i="5"/>
  <c r="T45" i="5"/>
  <c r="S45" i="5"/>
  <c r="R45" i="5"/>
  <c r="Q45" i="5"/>
  <c r="P45" i="5"/>
  <c r="O45" i="5"/>
  <c r="N45" i="5"/>
  <c r="U44" i="5"/>
  <c r="T44" i="5"/>
  <c r="S44" i="5"/>
  <c r="R44" i="5"/>
  <c r="Q44" i="5"/>
  <c r="P44" i="5"/>
  <c r="O44" i="5"/>
  <c r="N44" i="5"/>
  <c r="U43" i="5"/>
  <c r="T43" i="5"/>
  <c r="S43" i="5"/>
  <c r="R43" i="5"/>
  <c r="Q43" i="5"/>
  <c r="P43" i="5"/>
  <c r="O43" i="5"/>
  <c r="N43" i="5"/>
  <c r="U42" i="5"/>
  <c r="T42" i="5"/>
  <c r="S42" i="5"/>
  <c r="R42" i="5"/>
  <c r="Q42" i="5"/>
  <c r="P42" i="5"/>
  <c r="O42" i="5"/>
  <c r="N42" i="5"/>
  <c r="U41" i="5"/>
  <c r="T41" i="5"/>
  <c r="S41" i="5"/>
  <c r="R41" i="5"/>
  <c r="Q41" i="5"/>
  <c r="P41" i="5"/>
  <c r="O41" i="5"/>
  <c r="N41" i="5"/>
  <c r="U40" i="5"/>
  <c r="T40" i="5"/>
  <c r="S40" i="5"/>
  <c r="R40" i="5"/>
  <c r="Q40" i="5"/>
  <c r="P40" i="5"/>
  <c r="O40" i="5"/>
  <c r="N40" i="5"/>
  <c r="U39" i="5"/>
  <c r="T39" i="5"/>
  <c r="S39" i="5"/>
  <c r="R39" i="5"/>
  <c r="Q39" i="5"/>
  <c r="P39" i="5"/>
  <c r="O39" i="5"/>
  <c r="N39" i="5"/>
  <c r="U38" i="5"/>
  <c r="T38" i="5"/>
  <c r="S38" i="5"/>
  <c r="R38" i="5"/>
  <c r="Q38" i="5"/>
  <c r="P38" i="5"/>
  <c r="O38" i="5"/>
  <c r="N38" i="5"/>
  <c r="U37" i="5"/>
  <c r="T37" i="5"/>
  <c r="S37" i="5"/>
  <c r="R37" i="5"/>
  <c r="Q37" i="5"/>
  <c r="P37" i="5"/>
  <c r="O37" i="5"/>
  <c r="N37" i="5"/>
  <c r="U36" i="5"/>
  <c r="T36" i="5"/>
  <c r="S36" i="5"/>
  <c r="R36" i="5"/>
  <c r="Q36" i="5"/>
  <c r="P36" i="5"/>
  <c r="O36" i="5"/>
  <c r="N36" i="5"/>
  <c r="U35" i="5"/>
  <c r="T35" i="5"/>
  <c r="S35" i="5"/>
  <c r="R35" i="5"/>
  <c r="Q35" i="5"/>
  <c r="P35" i="5"/>
  <c r="O35" i="5"/>
  <c r="N35" i="5"/>
  <c r="U34" i="5"/>
  <c r="T34" i="5"/>
  <c r="S34" i="5"/>
  <c r="R34" i="5"/>
  <c r="Q34" i="5"/>
  <c r="P34" i="5"/>
  <c r="O34" i="5"/>
  <c r="N34" i="5"/>
  <c r="U33" i="5"/>
  <c r="T33" i="5"/>
  <c r="S33" i="5"/>
  <c r="R33" i="5"/>
  <c r="Q33" i="5"/>
  <c r="P33" i="5"/>
  <c r="O33" i="5"/>
  <c r="M48" i="5"/>
  <c r="L48" i="5"/>
  <c r="K48" i="5"/>
  <c r="J48" i="5"/>
  <c r="I48" i="5"/>
  <c r="M47" i="5"/>
  <c r="L47" i="5"/>
  <c r="K47" i="5"/>
  <c r="J47" i="5"/>
  <c r="I47" i="5"/>
  <c r="M46" i="5"/>
  <c r="L46" i="5"/>
  <c r="K46" i="5"/>
  <c r="J46" i="5"/>
  <c r="I46" i="5"/>
  <c r="M45" i="5"/>
  <c r="L45" i="5"/>
  <c r="K45" i="5"/>
  <c r="J45" i="5"/>
  <c r="I45" i="5"/>
  <c r="M44" i="5"/>
  <c r="L44" i="5"/>
  <c r="K44" i="5"/>
  <c r="J44" i="5"/>
  <c r="I44" i="5"/>
  <c r="M43" i="5"/>
  <c r="L43" i="5"/>
  <c r="K43" i="5"/>
  <c r="J43" i="5"/>
  <c r="I43" i="5"/>
  <c r="M42" i="5"/>
  <c r="L42" i="5"/>
  <c r="K42" i="5"/>
  <c r="J42" i="5"/>
  <c r="I42" i="5"/>
  <c r="M41" i="5"/>
  <c r="L41" i="5"/>
  <c r="K41" i="5"/>
  <c r="J41" i="5"/>
  <c r="I41" i="5"/>
  <c r="M40" i="5"/>
  <c r="L40" i="5"/>
  <c r="K40" i="5"/>
  <c r="J40" i="5"/>
  <c r="I40" i="5"/>
  <c r="M39" i="5"/>
  <c r="L39" i="5"/>
  <c r="K39" i="5"/>
  <c r="J39" i="5"/>
  <c r="I39" i="5"/>
  <c r="M38" i="5"/>
  <c r="L38" i="5"/>
  <c r="K38" i="5"/>
  <c r="J38" i="5"/>
  <c r="I38" i="5"/>
  <c r="M37" i="5"/>
  <c r="L37" i="5"/>
  <c r="K37" i="5"/>
  <c r="J37" i="5"/>
  <c r="I37" i="5"/>
  <c r="M36" i="5"/>
  <c r="L36" i="5"/>
  <c r="K36" i="5"/>
  <c r="J36" i="5"/>
  <c r="I36" i="5"/>
  <c r="M35" i="5"/>
  <c r="L35" i="5"/>
  <c r="K35" i="5"/>
  <c r="J35" i="5"/>
  <c r="I35" i="5"/>
  <c r="M34" i="5"/>
  <c r="L34" i="5"/>
  <c r="K34" i="5"/>
  <c r="J34" i="5"/>
  <c r="I34" i="5"/>
  <c r="M33" i="5"/>
  <c r="L33" i="5"/>
  <c r="K33" i="5"/>
  <c r="J33" i="5"/>
  <c r="U17" i="5"/>
  <c r="T17" i="5"/>
  <c r="S17" i="5"/>
  <c r="R17" i="5"/>
  <c r="Q17" i="5"/>
  <c r="P17" i="5"/>
  <c r="O17" i="5"/>
  <c r="N17" i="5"/>
  <c r="U16" i="5"/>
  <c r="T16" i="5"/>
  <c r="S16" i="5"/>
  <c r="R16" i="5"/>
  <c r="Q16" i="5"/>
  <c r="P16" i="5"/>
  <c r="O16" i="5"/>
  <c r="N16" i="5"/>
  <c r="U11" i="5"/>
  <c r="T11" i="5"/>
  <c r="S11" i="5"/>
  <c r="R11" i="5"/>
  <c r="Q11" i="5"/>
  <c r="P11" i="5"/>
  <c r="O11" i="5"/>
  <c r="N11" i="5"/>
  <c r="U10" i="5"/>
  <c r="T10" i="5"/>
  <c r="S10" i="5"/>
  <c r="R10" i="5"/>
  <c r="Q10" i="5"/>
  <c r="P10" i="5"/>
  <c r="O10" i="5"/>
  <c r="N10" i="5"/>
  <c r="J11" i="5"/>
  <c r="J10" i="5"/>
  <c r="K10" i="5"/>
  <c r="L10" i="5"/>
  <c r="M10" i="5"/>
  <c r="K11" i="5"/>
  <c r="L11" i="5"/>
  <c r="M11" i="5"/>
  <c r="I11" i="5"/>
  <c r="H11" i="5"/>
  <c r="G11" i="5"/>
  <c r="F11" i="5"/>
  <c r="I10" i="5"/>
  <c r="H10" i="5"/>
  <c r="G10" i="5"/>
  <c r="F10" i="5"/>
  <c r="F43" i="5"/>
  <c r="V33" i="5"/>
  <c r="N33" i="5"/>
  <c r="H48" i="5"/>
  <c r="G48" i="5"/>
  <c r="F48" i="5"/>
  <c r="H47" i="5"/>
  <c r="G47" i="5"/>
  <c r="F47" i="5"/>
  <c r="H46" i="5"/>
  <c r="G46" i="5"/>
  <c r="F46" i="5"/>
  <c r="H45" i="5"/>
  <c r="G45" i="5"/>
  <c r="F45" i="5"/>
  <c r="H44" i="5"/>
  <c r="G44" i="5"/>
  <c r="F44" i="5"/>
  <c r="H43" i="5"/>
  <c r="G43" i="5"/>
  <c r="H42" i="5"/>
  <c r="G42" i="5"/>
  <c r="F42" i="5"/>
  <c r="H41" i="5"/>
  <c r="G41" i="5"/>
  <c r="F41" i="5"/>
  <c r="H40" i="5"/>
  <c r="G40" i="5"/>
  <c r="F40" i="5"/>
  <c r="H39" i="5"/>
  <c r="G39" i="5"/>
  <c r="F39" i="5"/>
  <c r="H38" i="5"/>
  <c r="G38" i="5"/>
  <c r="F38" i="5"/>
  <c r="H37" i="5"/>
  <c r="G37" i="5"/>
  <c r="F37" i="5"/>
  <c r="H36" i="5"/>
  <c r="G36" i="5"/>
  <c r="F36" i="5"/>
  <c r="H35" i="5"/>
  <c r="G35" i="5"/>
  <c r="F35" i="5"/>
  <c r="H34" i="5"/>
  <c r="G34" i="5"/>
  <c r="F34" i="5"/>
  <c r="I33" i="5"/>
  <c r="H33" i="5"/>
  <c r="G33" i="5"/>
  <c r="AU33" i="5"/>
  <c r="AM33" i="5"/>
  <c r="AH48" i="5"/>
  <c r="AG48" i="5"/>
  <c r="AF48" i="5"/>
  <c r="AE48" i="5"/>
  <c r="AH47" i="5"/>
  <c r="AG47" i="5"/>
  <c r="AF47" i="5"/>
  <c r="AE47" i="5"/>
  <c r="AH46" i="5"/>
  <c r="AG46" i="5"/>
  <c r="AF46" i="5"/>
  <c r="AE46" i="5"/>
  <c r="AH45" i="5"/>
  <c r="AG45" i="5"/>
  <c r="AF45" i="5"/>
  <c r="AE45" i="5"/>
  <c r="AH44" i="5"/>
  <c r="AG44" i="5"/>
  <c r="AF44" i="5"/>
  <c r="AE44" i="5"/>
  <c r="AH43" i="5"/>
  <c r="AG43" i="5"/>
  <c r="AF43" i="5"/>
  <c r="AE43" i="5"/>
  <c r="AH42" i="5"/>
  <c r="AG42" i="5"/>
  <c r="AF42" i="5"/>
  <c r="AE42" i="5"/>
  <c r="AH41" i="5"/>
  <c r="AG41" i="5"/>
  <c r="AF41" i="5"/>
  <c r="AE41" i="5"/>
  <c r="AH40" i="5"/>
  <c r="AG40" i="5"/>
  <c r="AF40" i="5"/>
  <c r="AE40" i="5"/>
  <c r="AH39" i="5"/>
  <c r="AG39" i="5"/>
  <c r="AF39" i="5"/>
  <c r="AE39" i="5"/>
  <c r="AH38" i="5"/>
  <c r="AG38" i="5"/>
  <c r="AF38" i="5"/>
  <c r="AE38" i="5"/>
  <c r="AH37" i="5"/>
  <c r="AG37" i="5"/>
  <c r="AF37" i="5"/>
  <c r="AE37" i="5"/>
  <c r="AH36" i="5"/>
  <c r="AG36" i="5"/>
  <c r="AF36" i="5"/>
  <c r="AE36" i="5"/>
  <c r="AH35" i="5"/>
  <c r="AG35" i="5"/>
  <c r="AF35" i="5"/>
  <c r="AE35" i="5"/>
  <c r="AH34" i="5"/>
  <c r="AG34" i="5"/>
  <c r="AF34" i="5"/>
  <c r="AE34" i="5"/>
  <c r="AH33" i="5"/>
  <c r="AG33" i="5"/>
  <c r="AF33" i="5"/>
  <c r="AE33" i="5"/>
  <c r="B27" i="1"/>
  <c r="B56" i="1"/>
  <c r="B46" i="1" s="1"/>
  <c r="B44" i="1" s="1"/>
  <c r="B60" i="1"/>
  <c r="A38" i="1"/>
  <c r="B116" i="1"/>
  <c r="B115" i="1"/>
  <c r="B121" i="1"/>
  <c r="B122" i="1" s="1"/>
  <c r="A120" i="1"/>
  <c r="A127" i="1" s="1"/>
  <c r="A59" i="1"/>
  <c r="A43" i="1"/>
  <c r="B18" i="1"/>
  <c r="B25" i="1"/>
  <c r="B29" i="1" s="1"/>
  <c r="B131" i="1"/>
  <c r="B48" i="4"/>
  <c r="C49" i="4"/>
  <c r="D49" i="4"/>
  <c r="B49" i="4"/>
  <c r="C46" i="4"/>
  <c r="D46" i="4"/>
  <c r="B46" i="4"/>
  <c r="C37" i="4"/>
  <c r="C43" i="4" s="1"/>
  <c r="C25" i="4"/>
  <c r="B43" i="4"/>
  <c r="B41" i="4"/>
  <c r="B38" i="4"/>
  <c r="D37" i="4"/>
  <c r="D43" i="4" s="1"/>
  <c r="C27" i="4"/>
  <c r="D27" i="4"/>
  <c r="B27" i="4"/>
  <c r="B28" i="4" s="1"/>
  <c r="B25" i="4"/>
  <c r="B22" i="4" s="1"/>
  <c r="B23" i="4" s="1"/>
  <c r="B34" i="4"/>
  <c r="B32" i="4"/>
  <c r="B31" i="4"/>
  <c r="D34" i="4"/>
  <c r="C34" i="4"/>
  <c r="B16" i="1"/>
  <c r="B170" i="1"/>
  <c r="B166" i="1" s="1"/>
  <c r="B167" i="1" s="1"/>
  <c r="B11" i="4"/>
  <c r="B8" i="4"/>
  <c r="B9" i="4" s="1"/>
  <c r="B12" i="4" s="1"/>
  <c r="C15" i="4"/>
  <c r="C17" i="4" s="1"/>
  <c r="C18" i="4" s="1"/>
  <c r="B17" i="4"/>
  <c r="B18" i="4" s="1"/>
  <c r="D25" i="4"/>
  <c r="B171" i="1"/>
  <c r="B80" i="1"/>
  <c r="B82" i="1" s="1"/>
  <c r="B100" i="1" s="1"/>
  <c r="B101" i="1" s="1"/>
  <c r="B133" i="1"/>
  <c r="B78" i="1"/>
  <c r="B79" i="1" s="1"/>
  <c r="E26" i="8" l="1"/>
  <c r="F26" i="8"/>
  <c r="E23" i="8"/>
  <c r="E24" i="8" s="1"/>
  <c r="E11" i="8"/>
  <c r="E13" i="8" s="1"/>
  <c r="E12" i="8"/>
  <c r="E14" i="8" s="1"/>
  <c r="D11" i="8"/>
  <c r="D13" i="8" s="1"/>
  <c r="G10" i="8"/>
  <c r="F11" i="8"/>
  <c r="F13" i="8" s="1"/>
  <c r="F12" i="8"/>
  <c r="F14" i="8" s="1"/>
  <c r="D12" i="8"/>
  <c r="D14" i="8" s="1"/>
  <c r="B46" i="7"/>
  <c r="B47" i="7" s="1"/>
  <c r="B40" i="7"/>
  <c r="B41" i="7" s="1"/>
  <c r="B43" i="7" s="1"/>
  <c r="B31" i="7"/>
  <c r="B32" i="7" s="1"/>
  <c r="E5" i="6"/>
  <c r="E6" i="6" s="1"/>
  <c r="I4" i="6"/>
  <c r="G4" i="6" s="1"/>
  <c r="K4" i="6" s="1"/>
  <c r="H53" i="5"/>
  <c r="G63" i="5"/>
  <c r="G68" i="5"/>
  <c r="G67" i="5"/>
  <c r="G65" i="5"/>
  <c r="G61" i="5"/>
  <c r="G60" i="5"/>
  <c r="G59" i="5"/>
  <c r="G58" i="5"/>
  <c r="G57" i="5"/>
  <c r="G56" i="5"/>
  <c r="G55" i="5"/>
  <c r="G54" i="5"/>
  <c r="G69" i="5"/>
  <c r="G66" i="5"/>
  <c r="G64" i="5"/>
  <c r="B70" i="1"/>
  <c r="B54" i="1"/>
  <c r="B47" i="1" s="1"/>
  <c r="B49" i="1" s="1"/>
  <c r="B117" i="1"/>
  <c r="B118" i="1" s="1"/>
  <c r="B38" i="1"/>
  <c r="B20" i="1"/>
  <c r="B21" i="1" s="1"/>
  <c r="B30" i="1"/>
  <c r="B92" i="1"/>
  <c r="B81" i="1"/>
  <c r="B50" i="4"/>
  <c r="C44" i="4"/>
  <c r="C28" i="4"/>
  <c r="D50" i="4"/>
  <c r="C50" i="4"/>
  <c r="B40" i="4"/>
  <c r="B42" i="4"/>
  <c r="B44" i="4"/>
  <c r="C22" i="4"/>
  <c r="C23" i="4" s="1"/>
  <c r="B39" i="4"/>
  <c r="C26" i="4"/>
  <c r="B47" i="4"/>
  <c r="D41" i="4"/>
  <c r="D38" i="4" s="1"/>
  <c r="D39" i="4" s="1"/>
  <c r="B26" i="4"/>
  <c r="C41" i="4"/>
  <c r="C38" i="4" s="1"/>
  <c r="C39" i="4" s="1"/>
  <c r="C42" i="4"/>
  <c r="B24" i="4"/>
  <c r="B181" i="1"/>
  <c r="B179" i="1" s="1"/>
  <c r="B186" i="1" s="1"/>
  <c r="B146" i="1"/>
  <c r="B147" i="1" s="1"/>
  <c r="B151" i="1" s="1"/>
  <c r="D15" i="4"/>
  <c r="D22" i="4" s="1"/>
  <c r="D23" i="4" s="1"/>
  <c r="B108" i="1"/>
  <c r="E25" i="8" l="1"/>
  <c r="E27" i="8"/>
  <c r="F25" i="8"/>
  <c r="G26" i="8"/>
  <c r="F27" i="8"/>
  <c r="H10" i="8"/>
  <c r="G23" i="8"/>
  <c r="G24" i="8" s="1"/>
  <c r="G20" i="8"/>
  <c r="G21" i="8" s="1"/>
  <c r="G11" i="8"/>
  <c r="G13" i="8" s="1"/>
  <c r="G12" i="8"/>
  <c r="G14" i="8" s="1"/>
  <c r="B49" i="7"/>
  <c r="B44" i="7"/>
  <c r="B48" i="7"/>
  <c r="B42" i="7"/>
  <c r="B33" i="7"/>
  <c r="B56" i="7" s="1"/>
  <c r="I5" i="6"/>
  <c r="G5" i="6" s="1"/>
  <c r="K5" i="6" s="1"/>
  <c r="F6" i="6"/>
  <c r="J5" i="6"/>
  <c r="I53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B50" i="1"/>
  <c r="B63" i="1"/>
  <c r="B40" i="1"/>
  <c r="B109" i="1"/>
  <c r="B93" i="1"/>
  <c r="B180" i="1"/>
  <c r="B83" i="1"/>
  <c r="B91" i="1"/>
  <c r="B107" i="1"/>
  <c r="C40" i="4"/>
  <c r="D40" i="4"/>
  <c r="B184" i="1"/>
  <c r="B185" i="1" s="1"/>
  <c r="D17" i="4"/>
  <c r="D24" i="4"/>
  <c r="C24" i="4"/>
  <c r="B173" i="1"/>
  <c r="B99" i="1"/>
  <c r="G25" i="8" l="1"/>
  <c r="H26" i="8"/>
  <c r="G27" i="8"/>
  <c r="I10" i="8"/>
  <c r="H23" i="8"/>
  <c r="H24" i="8" s="1"/>
  <c r="H20" i="8"/>
  <c r="H21" i="8" s="1"/>
  <c r="H12" i="8"/>
  <c r="H14" i="8" s="1"/>
  <c r="H11" i="8"/>
  <c r="H13" i="8" s="1"/>
  <c r="B61" i="7"/>
  <c r="B63" i="7"/>
  <c r="B62" i="7"/>
  <c r="B50" i="7"/>
  <c r="B51" i="7"/>
  <c r="B52" i="7" s="1"/>
  <c r="I6" i="6"/>
  <c r="E7" i="6"/>
  <c r="F7" i="6"/>
  <c r="J6" i="6"/>
  <c r="H6" i="6"/>
  <c r="G6" i="6" s="1"/>
  <c r="K6" i="6" s="1"/>
  <c r="J53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B71" i="1"/>
  <c r="B55" i="1"/>
  <c r="B45" i="1" s="1"/>
  <c r="B57" i="1" s="1"/>
  <c r="B65" i="1"/>
  <c r="B64" i="1"/>
  <c r="B67" i="1"/>
  <c r="B124" i="1"/>
  <c r="B178" i="1"/>
  <c r="C178" i="1" s="1"/>
  <c r="D178" i="1" s="1"/>
  <c r="B123" i="1"/>
  <c r="C180" i="1"/>
  <c r="D180" i="1" s="1"/>
  <c r="B172" i="1"/>
  <c r="C172" i="1" s="1"/>
  <c r="D172" i="1" s="1"/>
  <c r="B134" i="1"/>
  <c r="B135" i="1" s="1"/>
  <c r="B136" i="1" s="1"/>
  <c r="B137" i="1" s="1"/>
  <c r="B140" i="1"/>
  <c r="B94" i="1"/>
  <c r="C181" i="1"/>
  <c r="B187" i="1"/>
  <c r="B188" i="1" s="1"/>
  <c r="B189" i="1" s="1"/>
  <c r="C170" i="1"/>
  <c r="D170" i="1" s="1"/>
  <c r="C179" i="1"/>
  <c r="D179" i="1" s="1"/>
  <c r="C171" i="1"/>
  <c r="D171" i="1" s="1"/>
  <c r="C167" i="1"/>
  <c r="D167" i="1" s="1"/>
  <c r="C166" i="1"/>
  <c r="B110" i="1"/>
  <c r="C173" i="1"/>
  <c r="D173" i="1" s="1"/>
  <c r="D28" i="4"/>
  <c r="D44" i="4"/>
  <c r="D26" i="4"/>
  <c r="D42" i="4"/>
  <c r="D18" i="4"/>
  <c r="B168" i="1"/>
  <c r="C168" i="1" s="1"/>
  <c r="D168" i="1" s="1"/>
  <c r="B102" i="1"/>
  <c r="I26" i="8" l="1"/>
  <c r="H25" i="8"/>
  <c r="H27" i="8"/>
  <c r="J10" i="8"/>
  <c r="I23" i="8"/>
  <c r="I24" i="8" s="1"/>
  <c r="I20" i="8"/>
  <c r="I21" i="8" s="1"/>
  <c r="I11" i="8"/>
  <c r="I13" i="8" s="1"/>
  <c r="I12" i="8"/>
  <c r="I14" i="8" s="1"/>
  <c r="J7" i="6"/>
  <c r="F8" i="6"/>
  <c r="E8" i="6"/>
  <c r="H7" i="6"/>
  <c r="G7" i="6" s="1"/>
  <c r="K7" i="6" s="1"/>
  <c r="I7" i="6"/>
  <c r="K53" i="5"/>
  <c r="J69" i="5"/>
  <c r="J68" i="5"/>
  <c r="J67" i="5"/>
  <c r="J66" i="5"/>
  <c r="J65" i="5"/>
  <c r="J64" i="5"/>
  <c r="J63" i="5"/>
  <c r="J62" i="5"/>
  <c r="J61" i="5"/>
  <c r="J60" i="5"/>
  <c r="J59" i="5"/>
  <c r="J58" i="5"/>
  <c r="J57" i="5"/>
  <c r="J56" i="5"/>
  <c r="J55" i="5"/>
  <c r="J54" i="5"/>
  <c r="B61" i="1"/>
  <c r="B73" i="1" s="1"/>
  <c r="B66" i="1"/>
  <c r="B68" i="1"/>
  <c r="B69" i="1" s="1"/>
  <c r="B104" i="1"/>
  <c r="B48" i="1"/>
  <c r="B51" i="1"/>
  <c r="B52" i="1" s="1"/>
  <c r="B190" i="1"/>
  <c r="B191" i="1" s="1"/>
  <c r="B95" i="1"/>
  <c r="B96" i="1"/>
  <c r="B125" i="1"/>
  <c r="B126" i="1" s="1"/>
  <c r="B127" i="1" s="1"/>
  <c r="B112" i="1"/>
  <c r="B142" i="1"/>
  <c r="B141" i="1"/>
  <c r="B138" i="1"/>
  <c r="B139" i="1" s="1"/>
  <c r="B155" i="1" s="1"/>
  <c r="B156" i="1" s="1"/>
  <c r="B158" i="1" s="1"/>
  <c r="B111" i="1"/>
  <c r="B103" i="1"/>
  <c r="J26" i="8" l="1"/>
  <c r="I27" i="8"/>
  <c r="I25" i="8"/>
  <c r="J12" i="8"/>
  <c r="J14" i="8" s="1"/>
  <c r="J23" i="8"/>
  <c r="J24" i="8" s="1"/>
  <c r="J20" i="8"/>
  <c r="J21" i="8" s="1"/>
  <c r="J11" i="8"/>
  <c r="J13" i="8" s="1"/>
  <c r="E9" i="6"/>
  <c r="F9" i="6"/>
  <c r="H8" i="6"/>
  <c r="G8" i="6" s="1"/>
  <c r="K8" i="6" s="1"/>
  <c r="I8" i="6"/>
  <c r="J8" i="6"/>
  <c r="L53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B53" i="1"/>
  <c r="B157" i="1"/>
  <c r="B160" i="1" s="1"/>
  <c r="B143" i="1"/>
  <c r="B174" i="1"/>
  <c r="J27" i="8" l="1"/>
  <c r="J25" i="8"/>
  <c r="E10" i="6"/>
  <c r="F10" i="6"/>
  <c r="H9" i="6"/>
  <c r="G9" i="6" s="1"/>
  <c r="K9" i="6" s="1"/>
  <c r="I9" i="6"/>
  <c r="J9" i="6"/>
  <c r="M53" i="5"/>
  <c r="L69" i="5"/>
  <c r="L68" i="5"/>
  <c r="L67" i="5"/>
  <c r="L66" i="5"/>
  <c r="L65" i="5"/>
  <c r="L64" i="5"/>
  <c r="L63" i="5"/>
  <c r="L62" i="5"/>
  <c r="L61" i="5"/>
  <c r="L60" i="5"/>
  <c r="L55" i="5"/>
  <c r="L54" i="5"/>
  <c r="L58" i="5"/>
  <c r="L57" i="5"/>
  <c r="L59" i="5"/>
  <c r="L56" i="5"/>
  <c r="C174" i="1"/>
  <c r="D174" i="1" s="1"/>
  <c r="B175" i="1"/>
  <c r="B192" i="1" s="1"/>
  <c r="F11" i="6" l="1"/>
  <c r="H10" i="6"/>
  <c r="G10" i="6" s="1"/>
  <c r="K10" i="6" s="1"/>
  <c r="J10" i="6"/>
  <c r="E11" i="6"/>
  <c r="I10" i="6"/>
  <c r="N53" i="5"/>
  <c r="M69" i="5"/>
  <c r="M68" i="5"/>
  <c r="M67" i="5"/>
  <c r="M66" i="5"/>
  <c r="M65" i="5"/>
  <c r="M64" i="5"/>
  <c r="M63" i="5"/>
  <c r="M62" i="5"/>
  <c r="M61" i="5"/>
  <c r="M60" i="5"/>
  <c r="M54" i="5"/>
  <c r="M55" i="5"/>
  <c r="M56" i="5"/>
  <c r="M59" i="5"/>
  <c r="M58" i="5"/>
  <c r="M57" i="5"/>
  <c r="C175" i="1"/>
  <c r="B176" i="1" s="1"/>
  <c r="B177" i="1"/>
  <c r="J11" i="6" l="1"/>
  <c r="I11" i="6"/>
  <c r="H11" i="6"/>
  <c r="G11" i="6" s="1"/>
  <c r="K11" i="6" s="1"/>
  <c r="E12" i="6"/>
  <c r="F12" i="6"/>
  <c r="O53" i="5"/>
  <c r="N68" i="5"/>
  <c r="N59" i="5"/>
  <c r="N57" i="5"/>
  <c r="N63" i="5"/>
  <c r="N58" i="5"/>
  <c r="N54" i="5"/>
  <c r="N61" i="5"/>
  <c r="N60" i="5"/>
  <c r="N62" i="5"/>
  <c r="N69" i="5"/>
  <c r="N65" i="5"/>
  <c r="N67" i="5"/>
  <c r="N66" i="5"/>
  <c r="N64" i="5"/>
  <c r="N56" i="5"/>
  <c r="N55" i="5"/>
  <c r="D175" i="1"/>
  <c r="C177" i="1"/>
  <c r="D177" i="1" s="1"/>
  <c r="B169" i="1"/>
  <c r="C169" i="1" s="1"/>
  <c r="D169" i="1" s="1"/>
  <c r="B161" i="1"/>
  <c r="B159" i="1"/>
  <c r="J12" i="6" l="1"/>
  <c r="H12" i="6"/>
  <c r="G12" i="6" s="1"/>
  <c r="K12" i="6" s="1"/>
  <c r="I12" i="6"/>
  <c r="E13" i="6"/>
  <c r="F13" i="6"/>
  <c r="P53" i="5"/>
  <c r="O61" i="5"/>
  <c r="O60" i="5"/>
  <c r="O69" i="5"/>
  <c r="O68" i="5"/>
  <c r="O67" i="5"/>
  <c r="O66" i="5"/>
  <c r="O65" i="5"/>
  <c r="O64" i="5"/>
  <c r="O63" i="5"/>
  <c r="O62" i="5"/>
  <c r="O59" i="5"/>
  <c r="O58" i="5"/>
  <c r="O57" i="5"/>
  <c r="O56" i="5"/>
  <c r="O55" i="5"/>
  <c r="O54" i="5"/>
  <c r="H13" i="6" l="1"/>
  <c r="G13" i="6" s="1"/>
  <c r="K13" i="6" s="1"/>
  <c r="E14" i="6"/>
  <c r="I13" i="6"/>
  <c r="J13" i="6"/>
  <c r="F14" i="6"/>
  <c r="Q53" i="5"/>
  <c r="P69" i="5"/>
  <c r="P68" i="5"/>
  <c r="P67" i="5"/>
  <c r="P66" i="5"/>
  <c r="P65" i="5"/>
  <c r="P64" i="5"/>
  <c r="P63" i="5"/>
  <c r="P62" i="5"/>
  <c r="P61" i="5"/>
  <c r="P60" i="5"/>
  <c r="P59" i="5"/>
  <c r="P58" i="5"/>
  <c r="P57" i="5"/>
  <c r="P56" i="5"/>
  <c r="P55" i="5"/>
  <c r="P54" i="5"/>
  <c r="I14" i="6" l="1"/>
  <c r="E15" i="6"/>
  <c r="J14" i="6"/>
  <c r="F15" i="6"/>
  <c r="H14" i="6"/>
  <c r="G14" i="6" s="1"/>
  <c r="K14" i="6" s="1"/>
  <c r="R53" i="5"/>
  <c r="Q69" i="5"/>
  <c r="Q68" i="5"/>
  <c r="Q67" i="5"/>
  <c r="Q66" i="5"/>
  <c r="Q65" i="5"/>
  <c r="Q64" i="5"/>
  <c r="Q63" i="5"/>
  <c r="Q62" i="5"/>
  <c r="Q61" i="5"/>
  <c r="Q60" i="5"/>
  <c r="Q59" i="5"/>
  <c r="Q58" i="5"/>
  <c r="Q57" i="5"/>
  <c r="Q56" i="5"/>
  <c r="Q55" i="5"/>
  <c r="Q54" i="5"/>
  <c r="J15" i="6" l="1"/>
  <c r="F16" i="6"/>
  <c r="E16" i="6"/>
  <c r="H15" i="6"/>
  <c r="G15" i="6" s="1"/>
  <c r="K15" i="6" s="1"/>
  <c r="I15" i="6"/>
  <c r="S53" i="5"/>
  <c r="R69" i="5"/>
  <c r="R68" i="5"/>
  <c r="R67" i="5"/>
  <c r="R66" i="5"/>
  <c r="R65" i="5"/>
  <c r="R64" i="5"/>
  <c r="R63" i="5"/>
  <c r="R62" i="5"/>
  <c r="R61" i="5"/>
  <c r="R60" i="5"/>
  <c r="R59" i="5"/>
  <c r="R58" i="5"/>
  <c r="R57" i="5"/>
  <c r="R56" i="5"/>
  <c r="R55" i="5"/>
  <c r="R54" i="5"/>
  <c r="E17" i="6" l="1"/>
  <c r="F17" i="6"/>
  <c r="H16" i="6"/>
  <c r="G16" i="6" s="1"/>
  <c r="K16" i="6" s="1"/>
  <c r="I16" i="6"/>
  <c r="J16" i="6"/>
  <c r="T53" i="5"/>
  <c r="S69" i="5"/>
  <c r="S68" i="5"/>
  <c r="S67" i="5"/>
  <c r="S66" i="5"/>
  <c r="S65" i="5"/>
  <c r="S64" i="5"/>
  <c r="S63" i="5"/>
  <c r="S62" i="5"/>
  <c r="S61" i="5"/>
  <c r="S60" i="5"/>
  <c r="S59" i="5"/>
  <c r="S58" i="5"/>
  <c r="S57" i="5"/>
  <c r="S56" i="5"/>
  <c r="S55" i="5"/>
  <c r="S54" i="5"/>
  <c r="E18" i="6" l="1"/>
  <c r="H17" i="6"/>
  <c r="G17" i="6" s="1"/>
  <c r="K17" i="6" s="1"/>
  <c r="F18" i="6"/>
  <c r="I17" i="6"/>
  <c r="J17" i="6"/>
  <c r="U53" i="5"/>
  <c r="T69" i="5"/>
  <c r="T68" i="5"/>
  <c r="T67" i="5"/>
  <c r="T66" i="5"/>
  <c r="T65" i="5"/>
  <c r="T64" i="5"/>
  <c r="T63" i="5"/>
  <c r="T62" i="5"/>
  <c r="T61" i="5"/>
  <c r="T60" i="5"/>
  <c r="T56" i="5"/>
  <c r="T59" i="5"/>
  <c r="T54" i="5"/>
  <c r="T58" i="5"/>
  <c r="T55" i="5"/>
  <c r="T57" i="5"/>
  <c r="F19" i="6" l="1"/>
  <c r="H18" i="6"/>
  <c r="G18" i="6" s="1"/>
  <c r="K18" i="6" s="1"/>
  <c r="I18" i="6"/>
  <c r="J18" i="6"/>
  <c r="E19" i="6"/>
  <c r="V53" i="5"/>
  <c r="U69" i="5"/>
  <c r="U68" i="5"/>
  <c r="U67" i="5"/>
  <c r="U66" i="5"/>
  <c r="U65" i="5"/>
  <c r="U64" i="5"/>
  <c r="U63" i="5"/>
  <c r="U62" i="5"/>
  <c r="U61" i="5"/>
  <c r="U60" i="5"/>
  <c r="U55" i="5"/>
  <c r="U54" i="5"/>
  <c r="U59" i="5"/>
  <c r="U58" i="5"/>
  <c r="U57" i="5"/>
  <c r="U56" i="5"/>
  <c r="I19" i="6" l="1"/>
  <c r="H19" i="6"/>
  <c r="G19" i="6" s="1"/>
  <c r="K19" i="6" s="1"/>
  <c r="E20" i="6"/>
  <c r="F20" i="6"/>
  <c r="J19" i="6"/>
  <c r="W53" i="5"/>
  <c r="V58" i="5"/>
  <c r="V56" i="5"/>
  <c r="V55" i="5"/>
  <c r="V54" i="5"/>
  <c r="V59" i="5"/>
  <c r="V69" i="5"/>
  <c r="V68" i="5"/>
  <c r="V67" i="5"/>
  <c r="V66" i="5"/>
  <c r="V65" i="5"/>
  <c r="V64" i="5"/>
  <c r="V63" i="5"/>
  <c r="V62" i="5"/>
  <c r="V57" i="5"/>
  <c r="V60" i="5"/>
  <c r="V61" i="5"/>
  <c r="H20" i="6" l="1"/>
  <c r="G20" i="6" s="1"/>
  <c r="K20" i="6" s="1"/>
  <c r="J20" i="6"/>
  <c r="I20" i="6"/>
  <c r="E21" i="6"/>
  <c r="F21" i="6"/>
  <c r="X53" i="5"/>
  <c r="W69" i="5"/>
  <c r="W68" i="5"/>
  <c r="W67" i="5"/>
  <c r="W66" i="5"/>
  <c r="W65" i="5"/>
  <c r="W64" i="5"/>
  <c r="W63" i="5"/>
  <c r="W62" i="5"/>
  <c r="W61" i="5"/>
  <c r="W59" i="5"/>
  <c r="W58" i="5"/>
  <c r="W57" i="5"/>
  <c r="W56" i="5"/>
  <c r="W55" i="5"/>
  <c r="W54" i="5"/>
  <c r="W60" i="5"/>
  <c r="H21" i="6" l="1"/>
  <c r="G21" i="6" s="1"/>
  <c r="K21" i="6" s="1"/>
  <c r="I21" i="6"/>
  <c r="E22" i="6"/>
  <c r="J21" i="6"/>
  <c r="F22" i="6"/>
  <c r="Y53" i="5"/>
  <c r="X69" i="5"/>
  <c r="X68" i="5"/>
  <c r="X67" i="5"/>
  <c r="X66" i="5"/>
  <c r="X65" i="5"/>
  <c r="X64" i="5"/>
  <c r="X63" i="5"/>
  <c r="X62" i="5"/>
  <c r="X61" i="5"/>
  <c r="X60" i="5"/>
  <c r="X59" i="5"/>
  <c r="X58" i="5"/>
  <c r="X57" i="5"/>
  <c r="X56" i="5"/>
  <c r="X55" i="5"/>
  <c r="X54" i="5"/>
  <c r="I22" i="6" l="1"/>
  <c r="J22" i="6"/>
  <c r="E23" i="6"/>
  <c r="H22" i="6"/>
  <c r="G22" i="6" s="1"/>
  <c r="K22" i="6" s="1"/>
  <c r="F23" i="6"/>
  <c r="Z53" i="5"/>
  <c r="Y69" i="5"/>
  <c r="Y68" i="5"/>
  <c r="Y67" i="5"/>
  <c r="Y66" i="5"/>
  <c r="Y65" i="5"/>
  <c r="Y64" i="5"/>
  <c r="Y63" i="5"/>
  <c r="Y62" i="5"/>
  <c r="Y61" i="5"/>
  <c r="Y60" i="5"/>
  <c r="Y59" i="5"/>
  <c r="Y58" i="5"/>
  <c r="Y57" i="5"/>
  <c r="Y56" i="5"/>
  <c r="Y55" i="5"/>
  <c r="Y54" i="5"/>
  <c r="J23" i="6" l="1"/>
  <c r="F24" i="6"/>
  <c r="E24" i="6"/>
  <c r="H23" i="6"/>
  <c r="G23" i="6" s="1"/>
  <c r="K23" i="6" s="1"/>
  <c r="I23" i="6"/>
  <c r="AA53" i="5"/>
  <c r="Z69" i="5"/>
  <c r="Z68" i="5"/>
  <c r="Z67" i="5"/>
  <c r="Z66" i="5"/>
  <c r="Z65" i="5"/>
  <c r="Z64" i="5"/>
  <c r="Z63" i="5"/>
  <c r="Z62" i="5"/>
  <c r="Z61" i="5"/>
  <c r="Z60" i="5"/>
  <c r="Z59" i="5"/>
  <c r="Z58" i="5"/>
  <c r="Z57" i="5"/>
  <c r="Z56" i="5"/>
  <c r="Z55" i="5"/>
  <c r="Z54" i="5"/>
  <c r="E25" i="6" l="1"/>
  <c r="F25" i="6"/>
  <c r="H24" i="6"/>
  <c r="G24" i="6" s="1"/>
  <c r="K24" i="6" s="1"/>
  <c r="I24" i="6"/>
  <c r="J24" i="6"/>
  <c r="AB53" i="5"/>
  <c r="AA69" i="5"/>
  <c r="AA68" i="5"/>
  <c r="AA67" i="5"/>
  <c r="AA66" i="5"/>
  <c r="AA65" i="5"/>
  <c r="AA64" i="5"/>
  <c r="AA63" i="5"/>
  <c r="AA62" i="5"/>
  <c r="AA61" i="5"/>
  <c r="AA60" i="5"/>
  <c r="AA59" i="5"/>
  <c r="AA58" i="5"/>
  <c r="AA57" i="5"/>
  <c r="AA56" i="5"/>
  <c r="AA55" i="5"/>
  <c r="AA54" i="5"/>
  <c r="E26" i="6" l="1"/>
  <c r="F26" i="6"/>
  <c r="H25" i="6"/>
  <c r="G25" i="6" s="1"/>
  <c r="K25" i="6" s="1"/>
  <c r="I25" i="6"/>
  <c r="J25" i="6"/>
  <c r="AC53" i="5"/>
  <c r="AB69" i="5"/>
  <c r="AB68" i="5"/>
  <c r="AB67" i="5"/>
  <c r="AB66" i="5"/>
  <c r="AB65" i="5"/>
  <c r="AB64" i="5"/>
  <c r="AB63" i="5"/>
  <c r="AB62" i="5"/>
  <c r="AB61" i="5"/>
  <c r="AB60" i="5"/>
  <c r="AB59" i="5"/>
  <c r="AB58" i="5"/>
  <c r="AB54" i="5"/>
  <c r="AB57" i="5"/>
  <c r="AB56" i="5"/>
  <c r="AB55" i="5"/>
  <c r="F27" i="6" l="1"/>
  <c r="J26" i="6"/>
  <c r="E27" i="6"/>
  <c r="H26" i="6"/>
  <c r="G26" i="6" s="1"/>
  <c r="K26" i="6" s="1"/>
  <c r="I26" i="6"/>
  <c r="AD53" i="5"/>
  <c r="AC69" i="5"/>
  <c r="AC68" i="5"/>
  <c r="AC67" i="5"/>
  <c r="AC66" i="5"/>
  <c r="AC65" i="5"/>
  <c r="AC64" i="5"/>
  <c r="AC63" i="5"/>
  <c r="AC62" i="5"/>
  <c r="AC61" i="5"/>
  <c r="AC60" i="5"/>
  <c r="AC58" i="5"/>
  <c r="AC59" i="5"/>
  <c r="AC57" i="5"/>
  <c r="AC56" i="5"/>
  <c r="AC55" i="5"/>
  <c r="AC54" i="5"/>
  <c r="I27" i="6" l="1"/>
  <c r="J27" i="6"/>
  <c r="H27" i="6"/>
  <c r="G27" i="6" s="1"/>
  <c r="K27" i="6" s="1"/>
  <c r="E28" i="6"/>
  <c r="F28" i="6"/>
  <c r="AE53" i="5"/>
  <c r="AD69" i="5"/>
  <c r="AD68" i="5"/>
  <c r="AD67" i="5"/>
  <c r="AD66" i="5"/>
  <c r="AD65" i="5"/>
  <c r="AD64" i="5"/>
  <c r="AD63" i="5"/>
  <c r="AD62" i="5"/>
  <c r="AD58" i="5"/>
  <c r="AD59" i="5"/>
  <c r="AD57" i="5"/>
  <c r="AD56" i="5"/>
  <c r="AD55" i="5"/>
  <c r="AD54" i="5"/>
  <c r="AD61" i="5"/>
  <c r="AD60" i="5"/>
  <c r="H28" i="6" l="1"/>
  <c r="G28" i="6" s="1"/>
  <c r="K28" i="6" s="1"/>
  <c r="J28" i="6"/>
  <c r="I28" i="6"/>
  <c r="E29" i="6"/>
  <c r="F29" i="6"/>
  <c r="AF53" i="5"/>
  <c r="AE69" i="5"/>
  <c r="AE68" i="5"/>
  <c r="AE67" i="5"/>
  <c r="AE66" i="5"/>
  <c r="AE65" i="5"/>
  <c r="AE64" i="5"/>
  <c r="AE63" i="5"/>
  <c r="AE62" i="5"/>
  <c r="AE61" i="5"/>
  <c r="AE60" i="5"/>
  <c r="AE59" i="5"/>
  <c r="AE58" i="5"/>
  <c r="AE57" i="5"/>
  <c r="AE56" i="5"/>
  <c r="AE55" i="5"/>
  <c r="AE54" i="5"/>
  <c r="H29" i="6" l="1"/>
  <c r="G29" i="6" s="1"/>
  <c r="K29" i="6" s="1"/>
  <c r="I29" i="6"/>
  <c r="J29" i="6"/>
  <c r="E30" i="6"/>
  <c r="F30" i="6"/>
  <c r="AG53" i="5"/>
  <c r="AF69" i="5"/>
  <c r="AF68" i="5"/>
  <c r="AF67" i="5"/>
  <c r="AF66" i="5"/>
  <c r="AF65" i="5"/>
  <c r="AF64" i="5"/>
  <c r="AF63" i="5"/>
  <c r="AF62" i="5"/>
  <c r="AF61" i="5"/>
  <c r="AF60" i="5"/>
  <c r="AF59" i="5"/>
  <c r="AF58" i="5"/>
  <c r="AF57" i="5"/>
  <c r="AF56" i="5"/>
  <c r="AF55" i="5"/>
  <c r="AF54" i="5"/>
  <c r="I30" i="6" l="1"/>
  <c r="E31" i="6"/>
  <c r="J30" i="6"/>
  <c r="H30" i="6"/>
  <c r="G30" i="6" s="1"/>
  <c r="K30" i="6" s="1"/>
  <c r="F31" i="6"/>
  <c r="AH53" i="5"/>
  <c r="AG69" i="5"/>
  <c r="AG68" i="5"/>
  <c r="AG67" i="5"/>
  <c r="AG66" i="5"/>
  <c r="AG65" i="5"/>
  <c r="AG64" i="5"/>
  <c r="AG63" i="5"/>
  <c r="AG62" i="5"/>
  <c r="AG61" i="5"/>
  <c r="AG60" i="5"/>
  <c r="AG58" i="5"/>
  <c r="AG57" i="5"/>
  <c r="AG56" i="5"/>
  <c r="AG55" i="5"/>
  <c r="AG54" i="5"/>
  <c r="AG59" i="5"/>
  <c r="J31" i="6" l="1"/>
  <c r="F32" i="6"/>
  <c r="E32" i="6"/>
  <c r="H31" i="6"/>
  <c r="G31" i="6" s="1"/>
  <c r="K31" i="6" s="1"/>
  <c r="I31" i="6"/>
  <c r="AI53" i="5"/>
  <c r="AH69" i="5"/>
  <c r="AH68" i="5"/>
  <c r="AH67" i="5"/>
  <c r="AH66" i="5"/>
  <c r="AH65" i="5"/>
  <c r="AH64" i="5"/>
  <c r="AH63" i="5"/>
  <c r="AH62" i="5"/>
  <c r="AH61" i="5"/>
  <c r="AH60" i="5"/>
  <c r="AH59" i="5"/>
  <c r="AH58" i="5"/>
  <c r="AH57" i="5"/>
  <c r="AH56" i="5"/>
  <c r="AH55" i="5"/>
  <c r="AH54" i="5"/>
  <c r="E33" i="6" l="1"/>
  <c r="F33" i="6"/>
  <c r="H32" i="6"/>
  <c r="G32" i="6" s="1"/>
  <c r="K32" i="6" s="1"/>
  <c r="I32" i="6"/>
  <c r="J32" i="6"/>
  <c r="AJ53" i="5"/>
  <c r="AI69" i="5"/>
  <c r="AI68" i="5"/>
  <c r="AI67" i="5"/>
  <c r="AI66" i="5"/>
  <c r="AI65" i="5"/>
  <c r="AI64" i="5"/>
  <c r="AI63" i="5"/>
  <c r="AI62" i="5"/>
  <c r="AI61" i="5"/>
  <c r="AI60" i="5"/>
  <c r="AI59" i="5"/>
  <c r="AI58" i="5"/>
  <c r="AI57" i="5"/>
  <c r="AI56" i="5"/>
  <c r="AI55" i="5"/>
  <c r="AI54" i="5"/>
  <c r="E34" i="6" l="1"/>
  <c r="H33" i="6"/>
  <c r="G33" i="6" s="1"/>
  <c r="K33" i="6" s="1"/>
  <c r="F34" i="6"/>
  <c r="I33" i="6"/>
  <c r="J33" i="6"/>
  <c r="AK53" i="5"/>
  <c r="AJ69" i="5"/>
  <c r="AJ68" i="5"/>
  <c r="AJ67" i="5"/>
  <c r="AJ66" i="5"/>
  <c r="AJ65" i="5"/>
  <c r="AJ64" i="5"/>
  <c r="AJ63" i="5"/>
  <c r="AJ62" i="5"/>
  <c r="AJ61" i="5"/>
  <c r="AJ60" i="5"/>
  <c r="AJ59" i="5"/>
  <c r="AJ57" i="5"/>
  <c r="AJ58" i="5"/>
  <c r="AJ56" i="5"/>
  <c r="AJ55" i="5"/>
  <c r="AJ54" i="5"/>
  <c r="F35" i="6" l="1"/>
  <c r="H34" i="6"/>
  <c r="G34" i="6" s="1"/>
  <c r="K34" i="6" s="1"/>
  <c r="J34" i="6"/>
  <c r="E35" i="6"/>
  <c r="I34" i="6"/>
  <c r="AL53" i="5"/>
  <c r="AK69" i="5"/>
  <c r="AK68" i="5"/>
  <c r="AK67" i="5"/>
  <c r="AK66" i="5"/>
  <c r="AK65" i="5"/>
  <c r="AK64" i="5"/>
  <c r="AK63" i="5"/>
  <c r="AK62" i="5"/>
  <c r="AK61" i="5"/>
  <c r="AK60" i="5"/>
  <c r="AK59" i="5"/>
  <c r="AK56" i="5"/>
  <c r="AK57" i="5"/>
  <c r="AK55" i="5"/>
  <c r="AK58" i="5"/>
  <c r="AK54" i="5"/>
  <c r="J35" i="6" l="1"/>
  <c r="H35" i="6"/>
  <c r="G35" i="6" s="1"/>
  <c r="K35" i="6" s="1"/>
  <c r="E36" i="6"/>
  <c r="F36" i="6"/>
  <c r="I35" i="6"/>
  <c r="AM53" i="5"/>
  <c r="AL61" i="5"/>
  <c r="AL60" i="5"/>
  <c r="AL59" i="5"/>
  <c r="AL57" i="5"/>
  <c r="AL55" i="5"/>
  <c r="AL58" i="5"/>
  <c r="AL56" i="5"/>
  <c r="AL54" i="5"/>
  <c r="AL69" i="5"/>
  <c r="AL65" i="5"/>
  <c r="AL66" i="5"/>
  <c r="AL68" i="5"/>
  <c r="AL64" i="5"/>
  <c r="AL62" i="5"/>
  <c r="AL67" i="5"/>
  <c r="AL63" i="5"/>
  <c r="H36" i="6" l="1"/>
  <c r="G36" i="6" s="1"/>
  <c r="K36" i="6" s="1"/>
  <c r="J36" i="6"/>
  <c r="I36" i="6"/>
  <c r="E37" i="6"/>
  <c r="F37" i="6"/>
  <c r="AN53" i="5"/>
  <c r="AM61" i="5"/>
  <c r="AM60" i="5"/>
  <c r="AM59" i="5"/>
  <c r="AM68" i="5"/>
  <c r="AM66" i="5"/>
  <c r="AM64" i="5"/>
  <c r="AM67" i="5"/>
  <c r="AM69" i="5"/>
  <c r="AM65" i="5"/>
  <c r="AM63" i="5"/>
  <c r="AM62" i="5"/>
  <c r="AM58" i="5"/>
  <c r="AM57" i="5"/>
  <c r="AM56" i="5"/>
  <c r="AM55" i="5"/>
  <c r="AM54" i="5"/>
  <c r="H37" i="6" l="1"/>
  <c r="G37" i="6" s="1"/>
  <c r="K37" i="6" s="1"/>
  <c r="I37" i="6"/>
  <c r="J37" i="6"/>
  <c r="AO53" i="5"/>
  <c r="AN69" i="5"/>
  <c r="AN68" i="5"/>
  <c r="AN67" i="5"/>
  <c r="AN66" i="5"/>
  <c r="AN65" i="5"/>
  <c r="AN64" i="5"/>
  <c r="AN63" i="5"/>
  <c r="AN62" i="5"/>
  <c r="AN61" i="5"/>
  <c r="AN60" i="5"/>
  <c r="AN59" i="5"/>
  <c r="AN58" i="5"/>
  <c r="AN57" i="5"/>
  <c r="AN56" i="5"/>
  <c r="AN55" i="5"/>
  <c r="AN54" i="5"/>
  <c r="AP53" i="5" l="1"/>
  <c r="AO69" i="5"/>
  <c r="AO68" i="5"/>
  <c r="AO67" i="5"/>
  <c r="AO66" i="5"/>
  <c r="AO65" i="5"/>
  <c r="AO64" i="5"/>
  <c r="AO63" i="5"/>
  <c r="AO62" i="5"/>
  <c r="AO61" i="5"/>
  <c r="AO60" i="5"/>
  <c r="AO59" i="5"/>
  <c r="AO58" i="5"/>
  <c r="AO57" i="5"/>
  <c r="AO56" i="5"/>
  <c r="AO55" i="5"/>
  <c r="AO54" i="5"/>
  <c r="AQ53" i="5" l="1"/>
  <c r="AP69" i="5"/>
  <c r="AP68" i="5"/>
  <c r="AP67" i="5"/>
  <c r="AP66" i="5"/>
  <c r="AP65" i="5"/>
  <c r="AP64" i="5"/>
  <c r="AP63" i="5"/>
  <c r="AP62" i="5"/>
  <c r="AP61" i="5"/>
  <c r="AP60" i="5"/>
  <c r="AP59" i="5"/>
  <c r="AP58" i="5"/>
  <c r="AP57" i="5"/>
  <c r="AP56" i="5"/>
  <c r="AP55" i="5"/>
  <c r="AP54" i="5"/>
  <c r="AR53" i="5" l="1"/>
  <c r="AQ69" i="5"/>
  <c r="AQ68" i="5"/>
  <c r="AQ67" i="5"/>
  <c r="AQ66" i="5"/>
  <c r="AQ65" i="5"/>
  <c r="AQ64" i="5"/>
  <c r="AQ63" i="5"/>
  <c r="AQ62" i="5"/>
  <c r="AQ61" i="5"/>
  <c r="AQ60" i="5"/>
  <c r="AQ59" i="5"/>
  <c r="AQ58" i="5"/>
  <c r="AQ57" i="5"/>
  <c r="AQ56" i="5"/>
  <c r="AQ55" i="5"/>
  <c r="AQ54" i="5"/>
  <c r="AS53" i="5" l="1"/>
  <c r="AR69" i="5"/>
  <c r="AR68" i="5"/>
  <c r="AR67" i="5"/>
  <c r="AR66" i="5"/>
  <c r="AR65" i="5"/>
  <c r="AR64" i="5"/>
  <c r="AR63" i="5"/>
  <c r="AR62" i="5"/>
  <c r="AR61" i="5"/>
  <c r="AR60" i="5"/>
  <c r="AR59" i="5"/>
  <c r="AR55" i="5"/>
  <c r="AR54" i="5"/>
  <c r="AR56" i="5"/>
  <c r="AR58" i="5"/>
  <c r="AR57" i="5"/>
  <c r="AT53" i="5" l="1"/>
  <c r="AS69" i="5"/>
  <c r="AS68" i="5"/>
  <c r="AS67" i="5"/>
  <c r="AS66" i="5"/>
  <c r="AS65" i="5"/>
  <c r="AS64" i="5"/>
  <c r="AS63" i="5"/>
  <c r="AS62" i="5"/>
  <c r="AS54" i="5"/>
  <c r="AS56" i="5"/>
  <c r="AS61" i="5"/>
  <c r="AS57" i="5"/>
  <c r="AS59" i="5"/>
  <c r="AS55" i="5"/>
  <c r="AS60" i="5"/>
  <c r="AS58" i="5"/>
  <c r="AU53" i="5" l="1"/>
  <c r="AT64" i="5"/>
  <c r="AT57" i="5"/>
  <c r="AT67" i="5"/>
  <c r="AT54" i="5"/>
  <c r="AT68" i="5"/>
  <c r="AT66" i="5"/>
  <c r="AT65" i="5"/>
  <c r="AT63" i="5"/>
  <c r="AT56" i="5"/>
  <c r="AT69" i="5"/>
  <c r="AT62" i="5"/>
  <c r="AT58" i="5"/>
  <c r="AT55" i="5"/>
  <c r="AT61" i="5"/>
  <c r="AT59" i="5"/>
  <c r="AT60" i="5"/>
  <c r="AV53" i="5" l="1"/>
  <c r="AU59" i="5"/>
  <c r="AU60" i="5"/>
  <c r="AU61" i="5"/>
  <c r="AU69" i="5"/>
  <c r="AU68" i="5"/>
  <c r="AU67" i="5"/>
  <c r="AU66" i="5"/>
  <c r="AU65" i="5"/>
  <c r="AU64" i="5"/>
  <c r="AU63" i="5"/>
  <c r="AU62" i="5"/>
  <c r="AU58" i="5"/>
  <c r="AU57" i="5"/>
  <c r="AU56" i="5"/>
  <c r="AU55" i="5"/>
  <c r="AU54" i="5"/>
  <c r="AW53" i="5" l="1"/>
  <c r="AV69" i="5"/>
  <c r="AV68" i="5"/>
  <c r="AV67" i="5"/>
  <c r="AV66" i="5"/>
  <c r="AV65" i="5"/>
  <c r="AV64" i="5"/>
  <c r="AV63" i="5"/>
  <c r="AV62" i="5"/>
  <c r="AV61" i="5"/>
  <c r="AV60" i="5"/>
  <c r="AV59" i="5"/>
  <c r="AV58" i="5"/>
  <c r="AV57" i="5"/>
  <c r="AV56" i="5"/>
  <c r="AV55" i="5"/>
  <c r="AV54" i="5"/>
  <c r="AX53" i="5" l="1"/>
  <c r="AW69" i="5"/>
  <c r="AW68" i="5"/>
  <c r="AW67" i="5"/>
  <c r="AW66" i="5"/>
  <c r="AW65" i="5"/>
  <c r="AW64" i="5"/>
  <c r="AW63" i="5"/>
  <c r="AW62" i="5"/>
  <c r="AW61" i="5"/>
  <c r="AW60" i="5"/>
  <c r="AW59" i="5"/>
  <c r="AW58" i="5"/>
  <c r="AW57" i="5"/>
  <c r="AW56" i="5"/>
  <c r="AW55" i="5"/>
  <c r="AW54" i="5"/>
  <c r="AY53" i="5" l="1"/>
  <c r="AX69" i="5"/>
  <c r="AX68" i="5"/>
  <c r="AX67" i="5"/>
  <c r="AX66" i="5"/>
  <c r="AX65" i="5"/>
  <c r="AX64" i="5"/>
  <c r="AX63" i="5"/>
  <c r="AX62" i="5"/>
  <c r="AX61" i="5"/>
  <c r="AX60" i="5"/>
  <c r="AX59" i="5"/>
  <c r="AX58" i="5"/>
  <c r="AX57" i="5"/>
  <c r="AX56" i="5"/>
  <c r="AX55" i="5"/>
  <c r="AX54" i="5"/>
  <c r="AZ53" i="5" l="1"/>
  <c r="AY69" i="5"/>
  <c r="AY68" i="5"/>
  <c r="AY67" i="5"/>
  <c r="AY66" i="5"/>
  <c r="AY65" i="5"/>
  <c r="AY64" i="5"/>
  <c r="AY63" i="5"/>
  <c r="AY62" i="5"/>
  <c r="AY61" i="5"/>
  <c r="AY60" i="5"/>
  <c r="AY59" i="5"/>
  <c r="AY58" i="5"/>
  <c r="AY57" i="5"/>
  <c r="AY56" i="5"/>
  <c r="AY55" i="5"/>
  <c r="AY54" i="5"/>
  <c r="BA53" i="5" l="1"/>
  <c r="AZ69" i="5"/>
  <c r="AZ68" i="5"/>
  <c r="AZ67" i="5"/>
  <c r="AZ66" i="5"/>
  <c r="AZ65" i="5"/>
  <c r="AZ64" i="5"/>
  <c r="AZ63" i="5"/>
  <c r="AZ62" i="5"/>
  <c r="AZ61" i="5"/>
  <c r="AZ60" i="5"/>
  <c r="AZ59" i="5"/>
  <c r="AZ56" i="5"/>
  <c r="AZ58" i="5"/>
  <c r="AZ54" i="5"/>
  <c r="AZ57" i="5"/>
  <c r="AZ55" i="5"/>
  <c r="BB53" i="5" l="1"/>
  <c r="BA69" i="5"/>
  <c r="BA68" i="5"/>
  <c r="BA67" i="5"/>
  <c r="BA66" i="5"/>
  <c r="BA65" i="5"/>
  <c r="BA64" i="5"/>
  <c r="BA63" i="5"/>
  <c r="BA62" i="5"/>
  <c r="BA61" i="5"/>
  <c r="BA60" i="5"/>
  <c r="BA59" i="5"/>
  <c r="BA54" i="5"/>
  <c r="BA58" i="5"/>
  <c r="BA57" i="5"/>
  <c r="BA55" i="5"/>
  <c r="BA56" i="5"/>
  <c r="BC53" i="5" l="1"/>
  <c r="BB58" i="5"/>
  <c r="BB56" i="5"/>
  <c r="BB55" i="5"/>
  <c r="BB54" i="5"/>
  <c r="BB69" i="5"/>
  <c r="BB68" i="5"/>
  <c r="BB67" i="5"/>
  <c r="BB66" i="5"/>
  <c r="BB65" i="5"/>
  <c r="BB64" i="5"/>
  <c r="BB63" i="5"/>
  <c r="BB62" i="5"/>
  <c r="BB61" i="5"/>
  <c r="BB60" i="5"/>
  <c r="BB59" i="5"/>
  <c r="BB57" i="5"/>
  <c r="BD53" i="5" l="1"/>
  <c r="BC69" i="5"/>
  <c r="BC68" i="5"/>
  <c r="BC67" i="5"/>
  <c r="BC66" i="5"/>
  <c r="BC65" i="5"/>
  <c r="BC64" i="5"/>
  <c r="BC63" i="5"/>
  <c r="BC62" i="5"/>
  <c r="BC61" i="5"/>
  <c r="BC60" i="5"/>
  <c r="BC59" i="5"/>
  <c r="BC58" i="5"/>
  <c r="BC57" i="5"/>
  <c r="BC56" i="5"/>
  <c r="BC55" i="5"/>
  <c r="BC54" i="5"/>
  <c r="BE53" i="5" l="1"/>
  <c r="BD69" i="5"/>
  <c r="BD68" i="5"/>
  <c r="BD67" i="5"/>
  <c r="BD66" i="5"/>
  <c r="BD65" i="5"/>
  <c r="BD64" i="5"/>
  <c r="BD63" i="5"/>
  <c r="BD62" i="5"/>
  <c r="BD61" i="5"/>
  <c r="BD60" i="5"/>
  <c r="BD59" i="5"/>
  <c r="BD58" i="5"/>
  <c r="BD57" i="5"/>
  <c r="BD56" i="5"/>
  <c r="BD55" i="5"/>
  <c r="BD54" i="5"/>
  <c r="BF53" i="5" l="1"/>
  <c r="BE69" i="5"/>
  <c r="BE68" i="5"/>
  <c r="BE67" i="5"/>
  <c r="BE66" i="5"/>
  <c r="BE65" i="5"/>
  <c r="BE64" i="5"/>
  <c r="BE63" i="5"/>
  <c r="BE62" i="5"/>
  <c r="BE61" i="5"/>
  <c r="BE60" i="5"/>
  <c r="BE59" i="5"/>
  <c r="BE58" i="5"/>
  <c r="BE57" i="5"/>
  <c r="BE56" i="5"/>
  <c r="BE55" i="5"/>
  <c r="BE54" i="5"/>
  <c r="BG53" i="5" l="1"/>
  <c r="BF69" i="5"/>
  <c r="BF68" i="5"/>
  <c r="BF67" i="5"/>
  <c r="BF66" i="5"/>
  <c r="BF65" i="5"/>
  <c r="BF64" i="5"/>
  <c r="BF63" i="5"/>
  <c r="BF62" i="5"/>
  <c r="BF61" i="5"/>
  <c r="BF60" i="5"/>
  <c r="BF59" i="5"/>
  <c r="BF58" i="5"/>
  <c r="BF57" i="5"/>
  <c r="BF56" i="5"/>
  <c r="BF55" i="5"/>
  <c r="BF54" i="5"/>
  <c r="BH53" i="5" l="1"/>
  <c r="BG69" i="5"/>
  <c r="BG68" i="5"/>
  <c r="BG67" i="5"/>
  <c r="BG66" i="5"/>
  <c r="BG65" i="5"/>
  <c r="BG64" i="5"/>
  <c r="BG63" i="5"/>
  <c r="BG62" i="5"/>
  <c r="BG61" i="5"/>
  <c r="BG60" i="5"/>
  <c r="BG59" i="5"/>
  <c r="BG58" i="5"/>
  <c r="BG57" i="5"/>
  <c r="BG56" i="5"/>
  <c r="BG55" i="5"/>
  <c r="BG54" i="5"/>
  <c r="BI53" i="5" l="1"/>
  <c r="BH69" i="5"/>
  <c r="BH68" i="5"/>
  <c r="BH67" i="5"/>
  <c r="BH66" i="5"/>
  <c r="BH65" i="5"/>
  <c r="BH64" i="5"/>
  <c r="BH63" i="5"/>
  <c r="BH62" i="5"/>
  <c r="BH61" i="5"/>
  <c r="BH60" i="5"/>
  <c r="BH59" i="5"/>
  <c r="BH58" i="5"/>
  <c r="BH57" i="5"/>
  <c r="BH56" i="5"/>
  <c r="BH55" i="5"/>
  <c r="BH54" i="5"/>
  <c r="BJ53" i="5" l="1"/>
  <c r="BI69" i="5"/>
  <c r="BI68" i="5"/>
  <c r="BI67" i="5"/>
  <c r="BI66" i="5"/>
  <c r="BI65" i="5"/>
  <c r="BI64" i="5"/>
  <c r="BI63" i="5"/>
  <c r="BI62" i="5"/>
  <c r="BI61" i="5"/>
  <c r="BI60" i="5"/>
  <c r="BI59" i="5"/>
  <c r="BI58" i="5"/>
  <c r="BI57" i="5"/>
  <c r="BI56" i="5"/>
  <c r="BI55" i="5"/>
  <c r="BI54" i="5"/>
  <c r="BK53" i="5" l="1"/>
  <c r="BJ60" i="5"/>
  <c r="BJ59" i="5"/>
  <c r="BJ69" i="5"/>
  <c r="BJ68" i="5"/>
  <c r="BJ67" i="5"/>
  <c r="BJ66" i="5"/>
  <c r="BJ65" i="5"/>
  <c r="BJ64" i="5"/>
  <c r="BJ63" i="5"/>
  <c r="BJ62" i="5"/>
  <c r="BJ61" i="5"/>
  <c r="BJ58" i="5"/>
  <c r="BJ56" i="5"/>
  <c r="BJ55" i="5"/>
  <c r="BJ54" i="5"/>
  <c r="BJ57" i="5"/>
  <c r="BL53" i="5" l="1"/>
  <c r="BK69" i="5"/>
  <c r="BK68" i="5"/>
  <c r="BK67" i="5"/>
  <c r="BK66" i="5"/>
  <c r="BK65" i="5"/>
  <c r="BK64" i="5"/>
  <c r="BK63" i="5"/>
  <c r="BK62" i="5"/>
  <c r="BK61" i="5"/>
  <c r="BK58" i="5"/>
  <c r="BK57" i="5"/>
  <c r="BK56" i="5"/>
  <c r="BK55" i="5"/>
  <c r="BK54" i="5"/>
  <c r="BK60" i="5"/>
  <c r="BK59" i="5"/>
  <c r="BM53" i="5" l="1"/>
  <c r="BL69" i="5"/>
  <c r="BL68" i="5"/>
  <c r="BL67" i="5"/>
  <c r="BL66" i="5"/>
  <c r="BL65" i="5"/>
  <c r="BL64" i="5"/>
  <c r="BL63" i="5"/>
  <c r="BL62" i="5"/>
  <c r="BL61" i="5"/>
  <c r="BL60" i="5"/>
  <c r="BL59" i="5"/>
  <c r="BL58" i="5"/>
  <c r="BL57" i="5"/>
  <c r="BL56" i="5"/>
  <c r="BL55" i="5"/>
  <c r="BL54" i="5"/>
  <c r="BN53" i="5" l="1"/>
  <c r="BM69" i="5"/>
  <c r="BM68" i="5"/>
  <c r="BM67" i="5"/>
  <c r="BM66" i="5"/>
  <c r="BM65" i="5"/>
  <c r="BM64" i="5"/>
  <c r="BM63" i="5"/>
  <c r="BM62" i="5"/>
  <c r="BM61" i="5"/>
  <c r="BM60" i="5"/>
  <c r="BM59" i="5"/>
  <c r="BM58" i="5"/>
  <c r="BM57" i="5"/>
  <c r="BM56" i="5"/>
  <c r="BM55" i="5"/>
  <c r="BM54" i="5"/>
  <c r="BO53" i="5" l="1"/>
  <c r="BN69" i="5"/>
  <c r="BN68" i="5"/>
  <c r="BN67" i="5"/>
  <c r="BN66" i="5"/>
  <c r="BN65" i="5"/>
  <c r="BN64" i="5"/>
  <c r="BN63" i="5"/>
  <c r="BN62" i="5"/>
  <c r="BN61" i="5"/>
  <c r="BN60" i="5"/>
  <c r="BN59" i="5"/>
  <c r="BN58" i="5"/>
  <c r="BN57" i="5"/>
  <c r="BN56" i="5"/>
  <c r="BN55" i="5"/>
  <c r="BN54" i="5"/>
  <c r="BP53" i="5" l="1"/>
  <c r="BO69" i="5"/>
  <c r="BO68" i="5"/>
  <c r="BO67" i="5"/>
  <c r="BO66" i="5"/>
  <c r="BO65" i="5"/>
  <c r="BO64" i="5"/>
  <c r="BO63" i="5"/>
  <c r="BO62" i="5"/>
  <c r="BO61" i="5"/>
  <c r="BO60" i="5"/>
  <c r="BO59" i="5"/>
  <c r="BO58" i="5"/>
  <c r="BO57" i="5"/>
  <c r="BO56" i="5"/>
  <c r="BO55" i="5"/>
  <c r="BO54" i="5"/>
  <c r="BQ53" i="5" l="1"/>
  <c r="BP69" i="5"/>
  <c r="BP68" i="5"/>
  <c r="BP67" i="5"/>
  <c r="BP66" i="5"/>
  <c r="BP65" i="5"/>
  <c r="BP64" i="5"/>
  <c r="BP63" i="5"/>
  <c r="BP62" i="5"/>
  <c r="BP61" i="5"/>
  <c r="BP60" i="5"/>
  <c r="BP59" i="5"/>
  <c r="BP57" i="5"/>
  <c r="BP56" i="5"/>
  <c r="BP55" i="5"/>
  <c r="BP58" i="5"/>
  <c r="BP54" i="5"/>
  <c r="BQ69" i="5" l="1"/>
  <c r="BQ68" i="5"/>
  <c r="BQ67" i="5"/>
  <c r="BQ66" i="5"/>
  <c r="BQ65" i="5"/>
  <c r="BQ64" i="5"/>
  <c r="BQ63" i="5"/>
  <c r="BQ62" i="5"/>
  <c r="BQ61" i="5"/>
  <c r="BQ56" i="5"/>
  <c r="BQ55" i="5"/>
  <c r="BQ54" i="5"/>
  <c r="BQ58" i="5"/>
  <c r="BQ59" i="5"/>
  <c r="BQ57" i="5"/>
  <c r="BQ6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Arturo</author>
  </authors>
  <commentList>
    <comment ref="F21" authorId="0" shapeId="0" xr:uid="{317DED40-181F-4565-98E8-14FCDF818636}">
      <text>
        <r>
          <rPr>
            <sz val="9"/>
            <color indexed="81"/>
            <rFont val="Tahoma"/>
            <family val="2"/>
          </rPr>
          <t>Even or odd frames:
⌊(O∙2µ +⌊i∙M⌋) / Nslotframe,µ ⌋</t>
        </r>
      </text>
    </comment>
  </commentList>
</comments>
</file>

<file path=xl/sharedStrings.xml><?xml version="1.0" encoding="utf-8"?>
<sst xmlns="http://schemas.openxmlformats.org/spreadsheetml/2006/main" count="529" uniqueCount="332">
  <si>
    <t>Band</t>
  </si>
  <si>
    <t>Notes</t>
  </si>
  <si>
    <t>ELEMENT</t>
  </si>
  <si>
    <t>VALUE</t>
  </si>
  <si>
    <t>n257</t>
  </si>
  <si>
    <t>Calculated</t>
  </si>
  <si>
    <t>Starting from 0. Calculated</t>
  </si>
  <si>
    <t>Channel configuration</t>
  </si>
  <si>
    <t>SSB Configuration</t>
  </si>
  <si>
    <t>CORESET#0 and PDSCH Configuration</t>
  </si>
  <si>
    <t>Minimum NR-ARFCN</t>
  </si>
  <si>
    <t>Maximum NR-ARFCN</t>
  </si>
  <si>
    <t>Step Size</t>
  </si>
  <si>
    <t>NR-ARFCN</t>
  </si>
  <si>
    <t>Decided for the example</t>
  </si>
  <si>
    <t>Calculated from NR-ARFCN using https://www.sqimway.com/nr_band.php</t>
  </si>
  <si>
    <t>Check for correctness</t>
  </si>
  <si>
    <t>Reference Point A (NR-ARFCN)</t>
  </si>
  <si>
    <t>Synchronization Raster Configuration</t>
  </si>
  <si>
    <t>Calculated with
https://5g-tools.com/5g-nr-gscn-calculator/</t>
  </si>
  <si>
    <t>SSB lower edge</t>
  </si>
  <si>
    <t>SSB upper edge</t>
  </si>
  <si>
    <t>Multiplexing pattern</t>
  </si>
  <si>
    <t>Table that applies (from TS 38.213)</t>
  </si>
  <si>
    <t>table 13.10</t>
  </si>
  <si>
    <t>Offset</t>
  </si>
  <si>
    <t>IT IS NOT VALID</t>
  </si>
  <si>
    <t>Data for the figure</t>
  </si>
  <si>
    <t>CORESET#0 lower edge</t>
  </si>
  <si>
    <t>Calculated. First RB is numbered 0.</t>
  </si>
  <si>
    <t>CORESET#0 upper edge</t>
  </si>
  <si>
    <t>SSB reference freq. (GSCN)</t>
  </si>
  <si>
    <t>ONLY VALID</t>
  </si>
  <si>
    <r>
      <t xml:space="preserve">CRB index
</t>
    </r>
    <r>
      <rPr>
        <sz val="11"/>
        <color theme="1"/>
        <rFont val="Calibri"/>
        <family val="2"/>
        <scheme val="minor"/>
      </rPr>
      <t>(when CRB index is integer, the frequency corresponds to its lower edge)</t>
    </r>
  </si>
  <si>
    <t>Element</t>
  </si>
  <si>
    <t>Band configuration</t>
  </si>
  <si>
    <t>Fixed in 5G system definition.</t>
  </si>
  <si>
    <t xml:space="preserve">Calculated as 12*subcarrierSpacingCommon </t>
  </si>
  <si>
    <t>Calculated as 12*SCSu.</t>
  </si>
  <si>
    <t>Index of lowest RB,  that overlaps with the central frequecy of SSB SC0</t>
  </si>
  <si>
    <t>From table 5.3.5-1, TS 38.101-2. Three options. Option decided for the example.</t>
  </si>
  <si>
    <t>From table 5.3.2-1, TS 38.101-2.</t>
  </si>
  <si>
    <t>From table 5.3.3-1, TS 38.101-2.</t>
  </si>
  <si>
    <t>From table 5.4.2.3-1, TS 38.101-2.</t>
  </si>
  <si>
    <t>From table 5.4.3.3-1, TS 38.101-2</t>
  </si>
  <si>
    <t>From table 5.4.3.3-1 , TS 38.101-2</t>
  </si>
  <si>
    <t>From table 13.10 from TS 38.213. Two options. Option decided for the example.</t>
  </si>
  <si>
    <t>1 Channel [MHz]</t>
  </si>
  <si>
    <t>1 Pixel [kHz]</t>
  </si>
  <si>
    <t>Table 5.3.2</t>
  </si>
  <si>
    <t>Band Bandwidth [MHz]</t>
  </si>
  <si>
    <t>Band Bandwidth [15 MHz Channs]</t>
  </si>
  <si>
    <t>Band Bandwidth [Pixels]</t>
  </si>
  <si>
    <t>15 MHz Channel [Pixels]</t>
  </si>
  <si>
    <t>10 MHz Channel [Pixels]</t>
  </si>
  <si>
    <t>1 SCS [Pixels]</t>
  </si>
  <si>
    <t>1 RB [Pixels]</t>
  </si>
  <si>
    <t>Once Point A is defined</t>
  </si>
  <si>
    <t>Channel Bandwidth [MHz]</t>
  </si>
  <si>
    <t>Resource Block [subcarriers)</t>
  </si>
  <si>
    <t>Minimum guard band, at each channel end [MHz)</t>
  </si>
  <si>
    <t>Bandwidth of one Common Resource Block [kHz]</t>
  </si>
  <si>
    <t>Channel Slack [kHz]</t>
  </si>
  <si>
    <t>Maximum transmission bandwidth [MHz]</t>
  </si>
  <si>
    <t>Maximum transmission bandwidth [CRBs]</t>
  </si>
  <si>
    <t>In this color are the cells that are data for the calculator in "sqimway.com/nr_refA.php"</t>
  </si>
  <si>
    <t>Channel Reference Frequency (MHz)</t>
  </si>
  <si>
    <t>Calculated from reference frequency point A in MHz using https://www.sqimway.com/nr_band.php</t>
  </si>
  <si>
    <t>Next-above-middle subcarrier of carrier</t>
  </si>
  <si>
    <t>Point A</t>
  </si>
  <si>
    <t>frequency
[MHz]</t>
  </si>
  <si>
    <t>Channel Upper edge</t>
  </si>
  <si>
    <t>Channel Lower edge</t>
  </si>
  <si>
    <t>Frequency
Span</t>
  </si>
  <si>
    <t>Max. Transm. Bandwidth [MHz]</t>
  </si>
  <si>
    <t>Carrier Bandwidth [MHz]</t>
  </si>
  <si>
    <t>Max. Transm. Bandwidth minus Carrier Bandwidth [kHz]</t>
  </si>
  <si>
    <t>SSB center of its SC0</t>
  </si>
  <si>
    <t>Point A minus Carrier lower edge [kHz]</t>
  </si>
  <si>
    <t>Point A plus Offset to Point A. It is the center frequency of SC0 of the lowest RB that overlaps with the central frequency of SC0 of the SSB. [MHz]</t>
  </si>
  <si>
    <t>Lower edde of the lowest RB that overlaps with the central frequency of SC0 of the SSB. [MHz]</t>
  </si>
  <si>
    <t>Offset between SSB Lower edge and the lower edge of the lowest CRB that overlaps with SC0 of SSB [kHz]</t>
  </si>
  <si>
    <t>60 kHz subcarriers above the RB edge</t>
  </si>
  <si>
    <t>N/A</t>
  </si>
  <si>
    <t>SCS [kHz]</t>
  </si>
  <si>
    <t>Max Tx BW [RBs]</t>
  </si>
  <si>
    <t>Each Guard Band [kHz]</t>
  </si>
  <si>
    <t>Each Guard Band [RBs]</t>
  </si>
  <si>
    <t>Each Guard Band [Pixels]</t>
  </si>
  <si>
    <t>Next above middle SC [SC index in RB]</t>
  </si>
  <si>
    <t>Loss of RBs in Max Tx BW
[CRB index]</t>
  </si>
  <si>
    <t>Lowest CRB in Max Tx BW [CRB index]</t>
  </si>
  <si>
    <t>CRB of next-above-middle SC [CRB index]</t>
  </si>
  <si>
    <t>Highest CRB in Max Tx BW [CRB index]</t>
  </si>
  <si>
    <t>Maximum Transmission Bandwidth according to tables</t>
  </si>
  <si>
    <t>Carrier BW [SCS]</t>
  </si>
  <si>
    <t>Channel Max Tx BW [SCS]</t>
  </si>
  <si>
    <t>Channel Max Tx BW [Pixels]</t>
  </si>
  <si>
    <t>Carrier BW [Pixels]</t>
  </si>
  <si>
    <t>Maximum Transmission Bandwidth IN THE PICTURE</t>
  </si>
  <si>
    <t>From MIB parameter subCarrierSpacingCommon (see above)</t>
  </si>
  <si>
    <t>n50</t>
  </si>
  <si>
    <t>TDD</t>
  </si>
  <si>
    <t>Frequeny Range</t>
  </si>
  <si>
    <t>FR1</t>
  </si>
  <si>
    <t>Band Upper edge [GHz]</t>
  </si>
  <si>
    <t>Duplexing type</t>
  </si>
  <si>
    <t>Band Lower edge [GHz]</t>
  </si>
  <si>
    <t>Example fof Figure of Alignment of Channels and Carriers</t>
  </si>
  <si>
    <t>Example for Figure of alignment of PCHs (Physical Channels)</t>
  </si>
  <si>
    <t>Reference Point A
[MHz]</t>
  </si>
  <si>
    <t>SSB Subcarrier Spacing [kHz]</t>
  </si>
  <si>
    <t>SSB Bandwidth [RBs]</t>
  </si>
  <si>
    <t>SSB Bandwidth [MHz]</t>
  </si>
  <si>
    <t>SSB bandwidth below the SSB reference frequency [MHz]</t>
  </si>
  <si>
    <t>SSB bandwidth above the SSB reference frequency [MHz]</t>
  </si>
  <si>
    <t>SSB Bandwidth [Subcarriers]</t>
  </si>
  <si>
    <t>Next above middle subcarrier of the SSB: [Subcarrier index in SSB]</t>
  </si>
  <si>
    <t>GSCN_1 frequency [MHz]</t>
  </si>
  <si>
    <t>SSB Upper edge [MHz]</t>
  </si>
  <si>
    <t>SSB Lower edge [MHz]</t>
  </si>
  <si>
    <t>Center of Subcarrier 0 of SSB [MHz]</t>
  </si>
  <si>
    <t>GSCN frequency [MHz]</t>
  </si>
  <si>
    <t>GSCN right below GSCN_1 [GSCN]</t>
  </si>
  <si>
    <t>GSCN maximum [GSCN]</t>
  </si>
  <si>
    <t>GSCN minimum [GSCN]</t>
  </si>
  <si>
    <t>Step size [GSCN]</t>
  </si>
  <si>
    <t>GSCN_1 [GSCN]</t>
  </si>
  <si>
    <t>GSCN right above GSCN_1 [GSCN]</t>
  </si>
  <si>
    <t>Subcarrier spacing for CORESET#0 and PDSCH [kHz]</t>
  </si>
  <si>
    <t>Bandwidth of one CORESET#0 RB [kHz]</t>
  </si>
  <si>
    <t>CORESET#0 and PDSCH bandwidth [RBs]</t>
  </si>
  <si>
    <t>CORESET#0 and PDSCH bandwidth [MHz]</t>
  </si>
  <si>
    <t>CORESET#0 Upper edge [MHz]</t>
  </si>
  <si>
    <t>CORESET#0 Lower edge [MHz]</t>
  </si>
  <si>
    <t>Frequency Range</t>
  </si>
  <si>
    <t>From table 5.3.5-1, TS 38.101-2. Two options (60 and 120 kHz). Option decided for the example.</t>
  </si>
  <si>
    <t>Calculated. It must be 1 SCS</t>
  </si>
  <si>
    <t>Minimum guard band, at each channel end [MHz]</t>
  </si>
  <si>
    <t>120 kHz Carrier Lower edge</t>
  </si>
  <si>
    <t>Difference between Point A and the SC0 of the carrier aligned with the carrier raster [RBs of the carrier aligned with the carrier Raster]</t>
  </si>
  <si>
    <t>Upper edge [MHz]</t>
  </si>
  <si>
    <t>Lower edge [MHz]</t>
  </si>
  <si>
    <t>CRB of next-above-midle SC [CRB index]</t>
  </si>
  <si>
    <t>Upper edge [CRB index]</t>
  </si>
  <si>
    <t>Lower edge [CRB index]</t>
  </si>
  <si>
    <t>Next above-midle SC [SC index in its CRB]</t>
  </si>
  <si>
    <t>Did not have time to figure the formula. I have placed it by hand.</t>
  </si>
  <si>
    <t>Which SCS-carrier do we use to calculate this?? The one with the largest bandwidth??? (because the Guardband to use depends on the SCS used in the corresponding channel edge)</t>
  </si>
  <si>
    <r>
      <rPr>
        <b/>
        <sz val="11"/>
        <color theme="1"/>
        <rFont val="Calibri"/>
        <family val="2"/>
        <scheme val="minor"/>
      </rPr>
      <t>SCSu</t>
    </r>
    <r>
      <rPr>
        <sz val="11"/>
        <color theme="1"/>
        <rFont val="Calibri"/>
        <family val="2"/>
        <scheme val="minor"/>
      </rPr>
      <t xml:space="preserve">: subcarrier spacing used in the RBs that are the </t>
    </r>
    <r>
      <rPr>
        <b/>
        <sz val="11"/>
        <color theme="1"/>
        <rFont val="Calibri"/>
        <family val="2"/>
        <scheme val="minor"/>
      </rPr>
      <t>units</t>
    </r>
    <r>
      <rPr>
        <sz val="11"/>
        <color theme="1"/>
        <rFont val="Calibri"/>
        <family val="2"/>
        <scheme val="minor"/>
      </rPr>
      <t xml:space="preserve"> for SIB1.OffsetToPointA, in FR2 [kHz]</t>
    </r>
  </si>
  <si>
    <t>MIB.Kssb [kHz]</t>
  </si>
  <si>
    <t>MIB.Kssb (Subcarriers)</t>
  </si>
  <si>
    <r>
      <rPr>
        <b/>
        <sz val="11"/>
        <color theme="1"/>
        <rFont val="Calibri"/>
        <family val="2"/>
        <scheme val="minor"/>
      </rPr>
      <t>SCSc</t>
    </r>
    <r>
      <rPr>
        <sz val="11"/>
        <color theme="1"/>
        <rFont val="Calibri"/>
        <family val="2"/>
        <scheme val="minor"/>
      </rPr>
      <t>, MIB.subcarrierSpacingCommon [kHz]</t>
    </r>
  </si>
  <si>
    <r>
      <t xml:space="preserve">Bandwidth of the RBs used to </t>
    </r>
    <r>
      <rPr>
        <b/>
        <sz val="11"/>
        <color theme="1"/>
        <rFont val="Calibri"/>
        <family val="2"/>
        <scheme val="minor"/>
      </rPr>
      <t>calculate</t>
    </r>
    <r>
      <rPr>
        <sz val="11"/>
        <color theme="1"/>
        <rFont val="Calibri"/>
        <family val="2"/>
        <scheme val="minor"/>
      </rPr>
      <t xml:space="preserve"> SIB1.offsetToPointA [kHz]</t>
    </r>
  </si>
  <si>
    <t>SIB1.offsetToPointA [MHz]</t>
  </si>
  <si>
    <t>SIB1.offsetToPointA (in its specfic RBs used units, which are 12*SCSu)</t>
  </si>
  <si>
    <r>
      <rPr>
        <b/>
        <sz val="11"/>
        <color theme="1"/>
        <rFont val="Calibri"/>
        <family val="2"/>
        <scheme val="minor"/>
      </rPr>
      <t>RBu</t>
    </r>
    <r>
      <rPr>
        <sz val="11"/>
        <color theme="1"/>
        <rFont val="Calibri"/>
        <family val="2"/>
        <scheme val="minor"/>
      </rPr>
      <t xml:space="preserve">: Bandwidth of the RBs that are the </t>
    </r>
    <r>
      <rPr>
        <b/>
        <sz val="11"/>
        <color theme="1"/>
        <rFont val="Calibri"/>
        <family val="2"/>
        <scheme val="minor"/>
      </rPr>
      <t>units</t>
    </r>
    <r>
      <rPr>
        <sz val="11"/>
        <color theme="1"/>
        <rFont val="Calibri"/>
        <family val="2"/>
        <scheme val="minor"/>
      </rPr>
      <t xml:space="preserve"> for SIB1.offsetToPointA, in FR2 [kHz]</t>
    </r>
  </si>
  <si>
    <t>See the previous note.</t>
  </si>
  <si>
    <t>Decided for the example. It is the minimum possible. It makes that CRB0 is the first Usable CRB. Other negative integer values are possible.</t>
  </si>
  <si>
    <t>Check this value</t>
  </si>
  <si>
    <t>Frequency indicated by SIB1.offsetToPointA. It is the central frequency of SC0 of the lowest CRB that overlaps with the central frequency of SC0 of SSB. [MHz]</t>
  </si>
  <si>
    <t>SSB frequency location parameters: MIB.kSSB and SIB1.offsetToPointA</t>
  </si>
  <si>
    <t>It is the SCS used to CALCULATE offsetToPointA</t>
  </si>
  <si>
    <t>MIB.Kssb
[MIB.subcarrierSpacingCommon]</t>
  </si>
  <si>
    <t>Calculated with the formula I wrote in the book</t>
  </si>
  <si>
    <t>Point A [MHz]</t>
  </si>
  <si>
    <t>SCS of SSB [kHz]</t>
  </si>
  <si>
    <t>1 RB of the SSB [kHz]</t>
  </si>
  <si>
    <t>Distance between Point A and Center of Subcarrier 0 of SSB [MHz]</t>
  </si>
  <si>
    <t>Distance between Point A and Center of Subcarrier 0 of SSB [RBs of SSB]</t>
  </si>
  <si>
    <t>If SSB is aligned to CRB Grid, this must be an integer</t>
  </si>
  <si>
    <t>FR2-1</t>
  </si>
  <si>
    <t>From table XXXXX</t>
  </si>
  <si>
    <t>Upper edge of PSS/SSS [MHz]</t>
  </si>
  <si>
    <t>Lower edge of PSS/SSS [MHz]</t>
  </si>
  <si>
    <t>Bandwidth of PSS/SSS [MHz]</t>
  </si>
  <si>
    <t>Location of PSS/SSS</t>
  </si>
  <si>
    <t>From subcarrier spacings of SSB and of CORESET#0</t>
  </si>
  <si>
    <t>Number of symbols of CORESET#0</t>
  </si>
  <si>
    <t>From table 13.10 from TS 38.213.</t>
  </si>
  <si>
    <t>Table index that corresponds to the options selected for the example [4 bits]</t>
  </si>
  <si>
    <t>0001</t>
  </si>
  <si>
    <t>SSB SC0 minus KSSB, minus Offset [MHz]</t>
  </si>
  <si>
    <t>SSB SC0 minus KSSB [MHz]</t>
  </si>
  <si>
    <t>Is the SSB with this GSCN within the Upper edge of the Usable CRB Grid?</t>
  </si>
  <si>
    <t>Is the SSB with this GSCN within the Lower edge of the Usable CRB Grid?</t>
  </si>
  <si>
    <t>Calculated. You have to use the Grid of subcarrierSpacingCommon.</t>
  </si>
  <si>
    <t>Is the CORESET#0 within the Upper edge of the Usable CRB Grid?</t>
  </si>
  <si>
    <t>Is the CORESET#0 within the Lower edge of the Usable CRB Grid?</t>
  </si>
  <si>
    <t>60 kHz Usable CRB Grid Upper edge</t>
  </si>
  <si>
    <t>60 kHz Usable CRB Grid Lower edge</t>
  </si>
  <si>
    <t>The lower edge must be an integer number of CRBs</t>
  </si>
  <si>
    <t>In this particular example this Usable CRB Grid is ALSO aligned with the carrier raster</t>
  </si>
  <si>
    <t>Next above-midle SC [MHz]</t>
  </si>
  <si>
    <t>Next above-midle SC [SC index in the Usable CRB Grid]</t>
  </si>
  <si>
    <t>Upper edge [Usable CRB index]</t>
  </si>
  <si>
    <t>CRB of next-above-midle SC [Usable CRB index]</t>
  </si>
  <si>
    <t>Lower edge [Usable CRB index]</t>
  </si>
  <si>
    <t>Number of Usable CRBs [CRBs]</t>
  </si>
  <si>
    <t>Index</t>
  </si>
  <si>
    <t>O</t>
  </si>
  <si>
    <t>Number of search space sets per slot</t>
  </si>
  <si>
    <t>M</t>
  </si>
  <si>
    <t>{0, if i is even}, {NsymCOR, if i is odd}</t>
  </si>
  <si>
    <t>&lt;=This is the SSB index</t>
  </si>
  <si>
    <t>Slot index of CORESET#0 within the frame</t>
  </si>
  <si>
    <t>Slot symbol index of CORESET#0 first symbol</t>
  </si>
  <si>
    <t>Half-frame symbol indexes of each SSB in the burst are:</t>
  </si>
  <si>
    <t>Frame symbol index of CORESET#0 within the frame</t>
  </si>
  <si>
    <t>NSymCOR</t>
  </si>
  <si>
    <t>Frame symbol indexes of each SSB in the burst (1st half-frame)</t>
  </si>
  <si>
    <t>Frame symbol indexes of each SSB in the burst (2nd half-frame)</t>
  </si>
  <si>
    <t>&lt;=This is the SSB numerology</t>
  </si>
  <si>
    <t>&lt;=This is the CORESET#0 numerology</t>
  </si>
  <si>
    <t>SSB burst is sent in a half-frame.</t>
  </si>
  <si>
    <t>Time location of the SSB instances (within an SSB burst)</t>
  </si>
  <si>
    <t>Case A: subcase FR1-2 and SSB SCS=15kHz</t>
  </si>
  <si>
    <t>Case B: subcase FR1-2 and SSB SCS=30kHz</t>
  </si>
  <si>
    <t>Case C: subcase FR1-2 and SSB SCS=30kHz</t>
  </si>
  <si>
    <t>Examples of the time location of SSB instances (within an SSB burst) and CORESET#0 instances in Multiplexing Pattern 1</t>
  </si>
  <si>
    <t>Time location of CORESET#0 instances for Multiplexing Pattern 1: Table 13-11</t>
  </si>
  <si>
    <t>Values for FR1-2, where "i" may take values 0 to 7, and numerology 0 to 2.</t>
  </si>
  <si>
    <t>Values for FR1-2, where "i" may take values 0 to 7, and numerology 2, 3, 5 or 6</t>
  </si>
  <si>
    <t>Time location of CORESET#0 instances for Multiplexing Pattern 1: CORESET#0 present in Even or Odd frames</t>
  </si>
  <si>
    <t>i</t>
  </si>
  <si>
    <t>µ</t>
  </si>
  <si>
    <t>Even or Odd frames</t>
  </si>
  <si>
    <t>Frame slot index of first CORESET#0 intance</t>
  </si>
  <si>
    <t>Check</t>
  </si>
  <si>
    <t>B</t>
  </si>
  <si>
    <t>A</t>
  </si>
  <si>
    <t>Case</t>
  </si>
  <si>
    <t>RIV</t>
  </si>
  <si>
    <t>LRBs</t>
  </si>
  <si>
    <t>Rbstart</t>
  </si>
  <si>
    <t>Max RIV</t>
  </si>
  <si>
    <t>Bitdwidth</t>
  </si>
  <si>
    <t>N</t>
  </si>
  <si>
    <t>Channel Raster Configuration</t>
  </si>
  <si>
    <t>Decided for the example.</t>
  </si>
  <si>
    <t>Lower Edge [MHz]</t>
  </si>
  <si>
    <t>Upper Edge [MHz]</t>
  </si>
  <si>
    <t>Frequency Block Bandwidth [MHz]</t>
  </si>
  <si>
    <t>Frequency Block configuration</t>
  </si>
  <si>
    <t>Example of configuration of a Frequency Block</t>
  </si>
  <si>
    <t>Frequency Block Center [MHz]</t>
  </si>
  <si>
    <t>Subcarrier Spacing of channel aligned with the carrier raster [kHz]</t>
  </si>
  <si>
    <t>Subcarrier Spacing of the channel not neccessarily aligned with the carrier raster [kHz]</t>
  </si>
  <si>
    <t>From table 5.4.2.3-1, TS 38.101-2. Option decided for the example</t>
  </si>
  <si>
    <r>
      <rPr>
        <sz val="11"/>
        <color theme="1"/>
        <rFont val="Calibri"/>
        <family val="2"/>
      </rPr>
      <t>ΔF</t>
    </r>
    <r>
      <rPr>
        <sz val="11"/>
        <color theme="1"/>
        <rFont val="Calibri"/>
        <family val="2"/>
        <scheme val="minor"/>
      </rPr>
      <t>ref (channel raster spacing) [kHz]</t>
    </r>
  </si>
  <si>
    <t>Calculated from formula</t>
  </si>
  <si>
    <t>Maximum Fref [MHz]</t>
  </si>
  <si>
    <r>
      <rPr>
        <sz val="11"/>
        <color theme="1"/>
        <rFont val="Calibri"/>
        <family val="2"/>
      </rPr>
      <t>ΔFglobal</t>
    </r>
    <r>
      <rPr>
        <sz val="11"/>
        <color theme="1"/>
        <rFont val="Calibri"/>
        <family val="2"/>
        <scheme val="minor"/>
      </rPr>
      <t xml:space="preserve"> (global raster spacing) [kHz]</t>
    </r>
  </si>
  <si>
    <t xml:space="preserve">From table 5.4.2.1-1 of TS 38.101-2 </t>
  </si>
  <si>
    <r>
      <rPr>
        <sz val="11"/>
        <color theme="1"/>
        <rFont val="Calibri"/>
        <family val="2"/>
      </rPr>
      <t>Fref-offset</t>
    </r>
    <r>
      <rPr>
        <sz val="11"/>
        <color theme="1"/>
        <rFont val="Calibri"/>
        <family val="2"/>
        <scheme val="minor"/>
      </rPr>
      <t xml:space="preserve"> [MHz]</t>
    </r>
  </si>
  <si>
    <r>
      <rPr>
        <sz val="11"/>
        <color theme="1"/>
        <rFont val="Calibri"/>
        <family val="2"/>
      </rPr>
      <t>Nref-offset</t>
    </r>
    <r>
      <rPr>
        <sz val="11"/>
        <color theme="1"/>
        <rFont val="Calibri"/>
        <family val="2"/>
        <scheme val="minor"/>
      </rPr>
      <t xml:space="preserve"> [MHz]</t>
    </r>
  </si>
  <si>
    <t>Target Frequency [MHz]</t>
  </si>
  <si>
    <t>Frequency block center</t>
  </si>
  <si>
    <t>Number of raster spaces</t>
  </si>
  <si>
    <t>Is it exact?</t>
  </si>
  <si>
    <t>Minimum Fref [MHz]</t>
  </si>
  <si>
    <t>Channel Configuration (one 100 MHz channel)</t>
  </si>
  <si>
    <t>Channel Configuration (two 50 MHz channels)</t>
  </si>
  <si>
    <t>Calculated by ROUNDING</t>
  </si>
  <si>
    <t>Lower Target Frequency [MHz]</t>
  </si>
  <si>
    <t>Frequency block lower quartile</t>
  </si>
  <si>
    <t>Configuration of lower channel</t>
  </si>
  <si>
    <t>Channel center [MHz]</t>
  </si>
  <si>
    <t>Is it exact to the channel raster?</t>
  </si>
  <si>
    <t>Configuration of upper channel</t>
  </si>
  <si>
    <t>Unused bandwidth at the frequency block lower edge [kHz]</t>
  </si>
  <si>
    <t>Frequency block upper quartile</t>
  </si>
  <si>
    <t>Upper Target Frequency [MHz]</t>
  </si>
  <si>
    <t>Unused bandwidth at the frequency block upper edge [kHz]</t>
  </si>
  <si>
    <t>Channel spacing between both channels [kHz]</t>
  </si>
  <si>
    <t>The lower channel overlaps 20 kHz with the adjacent lower frequency block</t>
  </si>
  <si>
    <t>The upper channel leaves an unused space of 40 kHz at the frequency block upper edge</t>
  </si>
  <si>
    <t>Another solution is to move both channels 60 kHz upwards.</t>
  </si>
  <si>
    <t>Point A configuration</t>
  </si>
  <si>
    <t>Subcarrier spacing of centered usable CRB range [kHz]</t>
  </si>
  <si>
    <t>Transmission Bandwidth for SCS=120kHz [CRBs]</t>
  </si>
  <si>
    <t>Index of next above middle subcarrier</t>
  </si>
  <si>
    <t>From TS tables</t>
  </si>
  <si>
    <t>Chosen for the example</t>
  </si>
  <si>
    <t>Highest possible position of Point A</t>
  </si>
  <si>
    <t>-1 CRB</t>
  </si>
  <si>
    <t>-2 CRB</t>
  </si>
  <si>
    <t>-3 CRB</t>
  </si>
  <si>
    <t>Highest Point A - 1 CRB</t>
  </si>
  <si>
    <t>Highest Point A - 2 CRB</t>
  </si>
  <si>
    <t>Highest Point A - 3 CRB</t>
  </si>
  <si>
    <t>For 1 100 MHz channel (see referenced cell)</t>
  </si>
  <si>
    <t>There is an OVERLAP.</t>
  </si>
  <si>
    <t>Channel upper edge [MHz]</t>
  </si>
  <si>
    <t>Channel lower edge [MHz]</t>
  </si>
  <si>
    <t>Example of the figure of Timing Advance</t>
  </si>
  <si>
    <t>1 Symbol interval</t>
  </si>
  <si>
    <t>(µ=0, NCP)</t>
  </si>
  <si>
    <t>(µ=0, NCP)
 [µs]</t>
  </si>
  <si>
    <t>(µ=1, NCP)
 [µs]</t>
  </si>
  <si>
    <t>Propagation delay UE A</t>
  </si>
  <si>
    <t>Propagation delay UE B</t>
  </si>
  <si>
    <t>Distance UE A [km]</t>
  </si>
  <si>
    <t>Speed of light [km/µs]</t>
  </si>
  <si>
    <t>Distance UE B [km]</t>
  </si>
  <si>
    <t>(µ=2, NCP)
 [µs]</t>
  </si>
  <si>
    <t>(µ=3, NCP)
 [µs]</t>
  </si>
  <si>
    <t>(µ=4, NCP)
 [µs]</t>
  </si>
  <si>
    <t>(µ=5, NCP)
 [µs]</t>
  </si>
  <si>
    <t>(µ=6, NCP)
 [µs]</t>
  </si>
  <si>
    <t>Example of the figure of the Guard Period</t>
  </si>
  <si>
    <t>[symbol intervals]</t>
  </si>
  <si>
    <t>[pixels]</t>
  </si>
  <si>
    <t>(µ=1, NCP)</t>
  </si>
  <si>
    <t>(µ=2, NCP)</t>
  </si>
  <si>
    <t>(µ=3, NCP)</t>
  </si>
  <si>
    <t>(µ=4, NCP)</t>
  </si>
  <si>
    <t>(µ=5, NCP)</t>
  </si>
  <si>
    <t>(µ=6, NCP)</t>
  </si>
  <si>
    <t>UE RxtoTx [symbol intervals]</t>
  </si>
  <si>
    <t xml:space="preserve"> </t>
  </si>
  <si>
    <t>UE RxtoTx [µs]</t>
  </si>
  <si>
    <t>UE RxtoTx [pixels]</t>
  </si>
  <si>
    <t>NR node RxtoTx [µs]</t>
  </si>
  <si>
    <t>1 pixel</t>
  </si>
  <si>
    <t>NR node RxtoTx [symbol intervals]</t>
  </si>
  <si>
    <t>NR node RxtoTx [pixels]</t>
  </si>
  <si>
    <r>
      <t>Guard period Round(2*RTT</t>
    </r>
    <r>
      <rPr>
        <b/>
        <vertAlign val="subscript"/>
        <sz val="11"/>
        <color theme="1"/>
        <rFont val="Calibri"/>
        <family val="2"/>
        <scheme val="minor"/>
      </rPr>
      <t>max</t>
    </r>
    <r>
      <rPr>
        <b/>
        <sz val="11"/>
        <color theme="1"/>
        <rFont val="Calibri"/>
        <family val="2"/>
        <scheme val="minor"/>
      </rPr>
      <t xml:space="preserve"> + UE Rx-Tx) [µs]</t>
    </r>
  </si>
  <si>
    <r>
      <t>Guard period Round(2*RTT</t>
    </r>
    <r>
      <rPr>
        <b/>
        <vertAlign val="subscript"/>
        <sz val="11"/>
        <color theme="1"/>
        <rFont val="Calibri"/>
        <family val="2"/>
        <scheme val="minor"/>
      </rPr>
      <t>max</t>
    </r>
    <r>
      <rPr>
        <b/>
        <sz val="11"/>
        <color theme="1"/>
        <rFont val="Calibri"/>
        <family val="2"/>
        <scheme val="minor"/>
      </rPr>
      <t xml:space="preserve"> + UE Rx-Tx) [symbol intervals]</t>
    </r>
  </si>
  <si>
    <r>
      <t>Guard period Round(2*RTT</t>
    </r>
    <r>
      <rPr>
        <b/>
        <vertAlign val="subscript"/>
        <sz val="11"/>
        <color theme="1"/>
        <rFont val="Calibri"/>
        <family val="2"/>
        <scheme val="minor"/>
      </rPr>
      <t>max</t>
    </r>
    <r>
      <rPr>
        <b/>
        <sz val="11"/>
        <color theme="1"/>
        <rFont val="Calibri"/>
        <family val="2"/>
        <scheme val="minor"/>
      </rPr>
      <t xml:space="preserve"> + UE Rx-Tx) [pixels]</t>
    </r>
  </si>
  <si>
    <t>This is the manually computed adjustment, that depends on where Point A has been placed.</t>
  </si>
  <si>
    <t>This is the manually computed adjustment, that depends on whether the quantiy of RBs is even or odd, and on where Point A has been placed. For the SCS that is aligned to the carrier raster, the adjustment is always zero.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</si>
</sst>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0"/>
    <numFmt numFmtId="165" formatCode="#,##0.00000000000000"/>
    <numFmt numFmtId="166" formatCode="#,##0.00000"/>
    <numFmt numFmtId="167" formatCode="0.000"/>
    <numFmt numFmtId="168" formatCode="#,##0.0"/>
    <numFmt numFmtId="169" formatCode="0.0"/>
    <numFmt numFmtId="170" formatCode="0.000000"/>
    <numFmt numFmtId="171" formatCode="#,##0.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3" fontId="0" fillId="0" borderId="1" xfId="0" applyNumberFormat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165" fontId="0" fillId="0" borderId="0" xfId="0" applyNumberForma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66" fontId="0" fillId="0" borderId="0" xfId="0" applyNumberFormat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3" fontId="7" fillId="0" borderId="1" xfId="0" applyNumberFormat="1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0" fontId="0" fillId="4" borderId="1" xfId="0" applyFill="1" applyBorder="1" applyAlignment="1">
      <alignment vertical="center" wrapText="1"/>
    </xf>
    <xf numFmtId="3" fontId="3" fillId="4" borderId="1" xfId="0" applyNumberFormat="1" applyFont="1" applyFill="1" applyBorder="1" applyAlignment="1">
      <alignment vertical="center" wrapText="1"/>
    </xf>
    <xf numFmtId="0" fontId="0" fillId="4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3" fontId="0" fillId="0" borderId="2" xfId="0" applyNumberFormat="1" applyBorder="1" applyAlignment="1">
      <alignment vertical="center" wrapText="1"/>
    </xf>
    <xf numFmtId="1" fontId="7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3" borderId="5" xfId="0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167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11" xfId="0" applyBorder="1" applyAlignment="1">
      <alignment vertical="center" wrapText="1"/>
    </xf>
    <xf numFmtId="2" fontId="7" fillId="0" borderId="1" xfId="0" applyNumberFormat="1" applyFont="1" applyBorder="1" applyAlignment="1">
      <alignment vertical="center" wrapText="1"/>
    </xf>
    <xf numFmtId="2" fontId="7" fillId="2" borderId="1" xfId="0" applyNumberFormat="1" applyFont="1" applyFill="1" applyBorder="1" applyAlignment="1">
      <alignment vertical="center" wrapText="1"/>
    </xf>
    <xf numFmtId="0" fontId="0" fillId="6" borderId="0" xfId="0" applyFill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3" fontId="3" fillId="6" borderId="1" xfId="0" applyNumberFormat="1" applyFont="1" applyFill="1" applyBorder="1" applyAlignment="1">
      <alignment vertical="center" wrapText="1"/>
    </xf>
    <xf numFmtId="0" fontId="0" fillId="6" borderId="3" xfId="0" applyFill="1" applyBorder="1" applyAlignment="1">
      <alignment vertical="center" wrapText="1"/>
    </xf>
    <xf numFmtId="3" fontId="0" fillId="6" borderId="4" xfId="0" applyNumberForma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0" fillId="8" borderId="1" xfId="0" applyFill="1" applyBorder="1" applyAlignment="1">
      <alignment vertical="center" wrapText="1"/>
    </xf>
    <xf numFmtId="3" fontId="0" fillId="8" borderId="1" xfId="0" applyNumberForma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0" fillId="8" borderId="6" xfId="0" applyFill="1" applyBorder="1" applyAlignment="1">
      <alignment vertical="center" wrapText="1"/>
    </xf>
    <xf numFmtId="170" fontId="0" fillId="8" borderId="1" xfId="0" applyNumberFormat="1" applyFill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9" fontId="0" fillId="0" borderId="1" xfId="0" applyNumberForma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2" xfId="0" applyFont="1" applyBorder="1" applyAlignment="1">
      <alignment horizontal="center" vertical="center" wrapText="1"/>
    </xf>
    <xf numFmtId="0" fontId="0" fillId="5" borderId="15" xfId="0" applyFill="1" applyBorder="1" applyAlignment="1">
      <alignment vertical="center" wrapText="1"/>
    </xf>
    <xf numFmtId="0" fontId="0" fillId="5" borderId="16" xfId="0" applyFill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3" fontId="7" fillId="0" borderId="12" xfId="0" applyNumberFormat="1" applyFont="1" applyBorder="1" applyAlignment="1">
      <alignment vertical="center" wrapText="1"/>
    </xf>
    <xf numFmtId="0" fontId="0" fillId="0" borderId="12" xfId="0" applyBorder="1" applyAlignment="1">
      <alignment horizontal="left" vertical="center" wrapText="1"/>
    </xf>
    <xf numFmtId="0" fontId="10" fillId="5" borderId="14" xfId="0" applyFont="1" applyFill="1" applyBorder="1" applyAlignment="1">
      <alignment vertical="center" wrapText="1"/>
    </xf>
    <xf numFmtId="0" fontId="11" fillId="5" borderId="15" xfId="0" applyFont="1" applyFill="1" applyBorder="1" applyAlignment="1">
      <alignment vertical="center" wrapText="1"/>
    </xf>
    <xf numFmtId="0" fontId="11" fillId="5" borderId="16" xfId="0" applyFont="1" applyFill="1" applyBorder="1" applyAlignment="1">
      <alignment vertical="center" wrapText="1"/>
    </xf>
    <xf numFmtId="0" fontId="11" fillId="5" borderId="15" xfId="0" applyFont="1" applyFill="1" applyBorder="1" applyAlignment="1">
      <alignment horizontal="right" vertical="center" wrapText="1"/>
    </xf>
    <xf numFmtId="0" fontId="11" fillId="5" borderId="16" xfId="0" applyFont="1" applyFill="1" applyBorder="1" applyAlignment="1">
      <alignment horizontal="right" vertical="center" wrapText="1"/>
    </xf>
    <xf numFmtId="3" fontId="0" fillId="0" borderId="12" xfId="0" applyNumberFormat="1" applyBorder="1" applyAlignment="1">
      <alignment vertical="center" wrapText="1"/>
    </xf>
    <xf numFmtId="0" fontId="0" fillId="6" borderId="12" xfId="0" applyFill="1" applyBorder="1" applyAlignment="1">
      <alignment vertical="center" wrapText="1"/>
    </xf>
    <xf numFmtId="0" fontId="3" fillId="6" borderId="12" xfId="0" applyFont="1" applyFill="1" applyBorder="1" applyAlignment="1">
      <alignment vertical="center" wrapText="1"/>
    </xf>
    <xf numFmtId="3" fontId="3" fillId="0" borderId="12" xfId="0" applyNumberFormat="1" applyFont="1" applyBorder="1" applyAlignment="1">
      <alignment vertical="center" wrapText="1"/>
    </xf>
    <xf numFmtId="0" fontId="10" fillId="5" borderId="14" xfId="0" applyFont="1" applyFill="1" applyBorder="1" applyAlignment="1">
      <alignment vertical="center"/>
    </xf>
    <xf numFmtId="0" fontId="0" fillId="0" borderId="12" xfId="0" applyBorder="1" applyAlignment="1">
      <alignment vertical="center"/>
    </xf>
    <xf numFmtId="0" fontId="1" fillId="6" borderId="12" xfId="0" applyFont="1" applyFill="1" applyBorder="1" applyAlignment="1">
      <alignment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left" vertical="center" wrapText="1"/>
    </xf>
    <xf numFmtId="0" fontId="12" fillId="5" borderId="15" xfId="0" applyFont="1" applyFill="1" applyBorder="1" applyAlignment="1">
      <alignment vertical="center" wrapText="1"/>
    </xf>
    <xf numFmtId="0" fontId="10" fillId="5" borderId="16" xfId="0" applyFont="1" applyFill="1" applyBorder="1" applyAlignment="1">
      <alignment horizontal="left" vertical="center" wrapText="1"/>
    </xf>
    <xf numFmtId="0" fontId="10" fillId="5" borderId="15" xfId="0" applyFont="1" applyFill="1" applyBorder="1" applyAlignment="1">
      <alignment vertical="center" wrapText="1"/>
    </xf>
    <xf numFmtId="2" fontId="0" fillId="9" borderId="1" xfId="0" applyNumberForma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9" fontId="0" fillId="0" borderId="1" xfId="0" applyNumberForma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168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6" borderId="0" xfId="0" applyFill="1" applyAlignment="1">
      <alignment vertical="center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3" fontId="0" fillId="0" borderId="0" xfId="0" applyNumberFormat="1" applyAlignment="1">
      <alignment vertical="center" wrapText="1"/>
    </xf>
    <xf numFmtId="0" fontId="11" fillId="5" borderId="15" xfId="0" applyFont="1" applyFill="1" applyBorder="1" applyAlignment="1">
      <alignment vertical="center"/>
    </xf>
    <xf numFmtId="0" fontId="11" fillId="5" borderId="16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3" fontId="3" fillId="11" borderId="1" xfId="0" applyNumberFormat="1" applyFont="1" applyFill="1" applyBorder="1" applyAlignment="1">
      <alignment vertical="center" wrapText="1"/>
    </xf>
    <xf numFmtId="0" fontId="11" fillId="11" borderId="1" xfId="0" applyFont="1" applyFill="1" applyBorder="1" applyAlignment="1">
      <alignment vertical="center"/>
    </xf>
    <xf numFmtId="0" fontId="0" fillId="3" borderId="2" xfId="0" applyFill="1" applyBorder="1" applyAlignment="1">
      <alignment horizontal="center" vertical="center" wrapText="1"/>
    </xf>
    <xf numFmtId="0" fontId="0" fillId="10" borderId="3" xfId="0" applyFill="1" applyBorder="1" applyAlignment="1">
      <alignment vertical="center" wrapText="1"/>
    </xf>
    <xf numFmtId="3" fontId="0" fillId="10" borderId="4" xfId="0" applyNumberFormat="1" applyFill="1" applyBorder="1" applyAlignment="1">
      <alignment vertical="center" wrapText="1"/>
    </xf>
    <xf numFmtId="0" fontId="0" fillId="10" borderId="5" xfId="0" applyFill="1" applyBorder="1" applyAlignment="1">
      <alignment vertical="center" wrapText="1"/>
    </xf>
    <xf numFmtId="0" fontId="0" fillId="10" borderId="6" xfId="0" applyFill="1" applyBorder="1" applyAlignment="1">
      <alignment vertical="center" wrapText="1"/>
    </xf>
    <xf numFmtId="4" fontId="0" fillId="10" borderId="1" xfId="0" applyNumberFormat="1" applyFill="1" applyBorder="1" applyAlignment="1">
      <alignment vertical="center" wrapText="1"/>
    </xf>
    <xf numFmtId="0" fontId="0" fillId="10" borderId="7" xfId="0" applyFill="1" applyBorder="1" applyAlignment="1">
      <alignment vertical="center" wrapText="1"/>
    </xf>
    <xf numFmtId="0" fontId="0" fillId="10" borderId="2" xfId="0" applyFill="1" applyBorder="1" applyAlignment="1">
      <alignment horizontal="center" vertical="center" wrapText="1"/>
    </xf>
    <xf numFmtId="0" fontId="0" fillId="10" borderId="13" xfId="0" applyFill="1" applyBorder="1" applyAlignment="1">
      <alignment vertical="center" wrapText="1"/>
    </xf>
    <xf numFmtId="0" fontId="0" fillId="10" borderId="8" xfId="0" applyFill="1" applyBorder="1" applyAlignment="1">
      <alignment vertical="center" wrapText="1"/>
    </xf>
    <xf numFmtId="0" fontId="0" fillId="10" borderId="9" xfId="0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70" fontId="0" fillId="0" borderId="0" xfId="0" applyNumberFormat="1" applyAlignment="1">
      <alignment vertical="center" wrapText="1"/>
    </xf>
    <xf numFmtId="3" fontId="3" fillId="4" borderId="1" xfId="0" quotePrefix="1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12" borderId="26" xfId="0" applyFont="1" applyFill="1" applyBorder="1" applyAlignment="1">
      <alignment horizontal="center" vertical="center"/>
    </xf>
    <xf numFmtId="0" fontId="1" fillId="12" borderId="27" xfId="0" applyFont="1" applyFill="1" applyBorder="1" applyAlignment="1">
      <alignment horizontal="center" vertical="center"/>
    </xf>
    <xf numFmtId="0" fontId="1" fillId="12" borderId="28" xfId="0" applyFont="1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2" borderId="18" xfId="0" applyFill="1" applyBorder="1" applyAlignment="1">
      <alignment horizontal="center" vertical="center"/>
    </xf>
    <xf numFmtId="0" fontId="0" fillId="12" borderId="18" xfId="0" applyFill="1" applyBorder="1" applyAlignment="1">
      <alignment horizontal="center" vertical="center" wrapText="1"/>
    </xf>
    <xf numFmtId="0" fontId="0" fillId="12" borderId="6" xfId="0" applyFill="1" applyBorder="1" applyAlignment="1">
      <alignment horizontal="center" vertical="center"/>
    </xf>
    <xf numFmtId="0" fontId="0" fillId="12" borderId="8" xfId="0" applyFill="1" applyBorder="1" applyAlignment="1">
      <alignment horizontal="center" vertical="center"/>
    </xf>
    <xf numFmtId="0" fontId="0" fillId="12" borderId="9" xfId="0" applyFill="1" applyBorder="1" applyAlignment="1">
      <alignment horizontal="center" vertical="center"/>
    </xf>
    <xf numFmtId="0" fontId="0" fillId="12" borderId="24" xfId="0" applyFill="1" applyBorder="1" applyAlignment="1">
      <alignment horizontal="center" vertical="center"/>
    </xf>
    <xf numFmtId="0" fontId="0" fillId="12" borderId="12" xfId="0" applyFill="1" applyBorder="1" applyAlignment="1">
      <alignment horizontal="center" vertical="center"/>
    </xf>
    <xf numFmtId="0" fontId="1" fillId="12" borderId="26" xfId="0" applyFont="1" applyFill="1" applyBorder="1" applyAlignment="1">
      <alignment horizontal="center" vertical="center" wrapText="1"/>
    </xf>
    <xf numFmtId="0" fontId="1" fillId="12" borderId="27" xfId="0" applyFont="1" applyFill="1" applyBorder="1" applyAlignment="1">
      <alignment horizontal="center" vertical="center" wrapText="1"/>
    </xf>
    <xf numFmtId="0" fontId="1" fillId="12" borderId="28" xfId="0" applyFont="1" applyFill="1" applyBorder="1" applyAlignment="1">
      <alignment horizontal="center" vertical="center" wrapText="1"/>
    </xf>
    <xf numFmtId="0" fontId="1" fillId="13" borderId="0" xfId="0" applyFont="1" applyFill="1" applyAlignment="1">
      <alignment vertical="center"/>
    </xf>
    <xf numFmtId="0" fontId="0" fillId="13" borderId="0" xfId="0" applyFill="1" applyAlignment="1">
      <alignment vertical="center"/>
    </xf>
    <xf numFmtId="0" fontId="1" fillId="1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12" borderId="31" xfId="0" applyFont="1" applyFill="1" applyBorder="1" applyAlignment="1">
      <alignment horizontal="center" vertical="center"/>
    </xf>
    <xf numFmtId="0" fontId="1" fillId="12" borderId="32" xfId="0" applyFont="1" applyFill="1" applyBorder="1" applyAlignment="1">
      <alignment horizontal="center" vertical="center"/>
    </xf>
    <xf numFmtId="0" fontId="1" fillId="12" borderId="33" xfId="0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3" fillId="0" borderId="23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3" borderId="6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3" fillId="0" borderId="0" xfId="0" applyFont="1"/>
    <xf numFmtId="0" fontId="0" fillId="12" borderId="22" xfId="0" applyFill="1" applyBorder="1" applyAlignment="1">
      <alignment horizontal="center" vertical="center"/>
    </xf>
    <xf numFmtId="0" fontId="0" fillId="12" borderId="37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7" fillId="0" borderId="12" xfId="0" applyNumberFormat="1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10" fillId="5" borderId="34" xfId="0" applyFont="1" applyFill="1" applyBorder="1" applyAlignment="1">
      <alignment vertical="center"/>
    </xf>
    <xf numFmtId="0" fontId="11" fillId="5" borderId="35" xfId="0" applyFont="1" applyFill="1" applyBorder="1" applyAlignment="1">
      <alignment vertical="center" wrapText="1"/>
    </xf>
    <xf numFmtId="0" fontId="11" fillId="5" borderId="36" xfId="0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171" fontId="7" fillId="0" borderId="12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1" fontId="0" fillId="0" borderId="1" xfId="0" applyNumberFormat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169" fontId="0" fillId="5" borderId="1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14" borderId="1" xfId="0" applyFont="1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5" borderId="1" xfId="0" applyNumberForma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10" borderId="18" xfId="0" applyFont="1" applyFill="1" applyBorder="1" applyAlignment="1">
      <alignment horizontal="center" vertical="center"/>
    </xf>
    <xf numFmtId="0" fontId="1" fillId="10" borderId="19" xfId="0" applyFont="1" applyFill="1" applyBorder="1" applyAlignment="1">
      <alignment horizontal="center" vertical="center"/>
    </xf>
    <xf numFmtId="0" fontId="1" fillId="10" borderId="20" xfId="0" applyFont="1" applyFill="1" applyBorder="1" applyAlignment="1">
      <alignment horizontal="center" vertical="center"/>
    </xf>
    <xf numFmtId="0" fontId="1" fillId="12" borderId="14" xfId="0" applyFont="1" applyFill="1" applyBorder="1" applyAlignment="1">
      <alignment horizontal="center" vertical="center"/>
    </xf>
    <xf numFmtId="0" fontId="1" fillId="12" borderId="15" xfId="0" applyFont="1" applyFill="1" applyBorder="1" applyAlignment="1">
      <alignment horizontal="center" vertical="center"/>
    </xf>
    <xf numFmtId="0" fontId="1" fillId="12" borderId="16" xfId="0" applyFont="1" applyFill="1" applyBorder="1" applyAlignment="1">
      <alignment horizontal="center" vertical="center"/>
    </xf>
    <xf numFmtId="0" fontId="1" fillId="12" borderId="29" xfId="0" applyFont="1" applyFill="1" applyBorder="1" applyAlignment="1">
      <alignment horizontal="center" vertical="center"/>
    </xf>
    <xf numFmtId="0" fontId="1" fillId="12" borderId="30" xfId="0" applyFont="1" applyFill="1" applyBorder="1" applyAlignment="1">
      <alignment horizontal="center" vertical="center"/>
    </xf>
    <xf numFmtId="0" fontId="1" fillId="12" borderId="21" xfId="0" applyFont="1" applyFill="1" applyBorder="1" applyAlignment="1">
      <alignment horizontal="center" vertical="center"/>
    </xf>
    <xf numFmtId="0" fontId="1" fillId="12" borderId="34" xfId="0" applyFont="1" applyFill="1" applyBorder="1" applyAlignment="1">
      <alignment horizontal="center" vertical="center"/>
    </xf>
    <xf numFmtId="0" fontId="1" fillId="12" borderId="35" xfId="0" applyFont="1" applyFill="1" applyBorder="1" applyAlignment="1">
      <alignment horizontal="center" vertical="center"/>
    </xf>
    <xf numFmtId="0" fontId="1" fillId="12" borderId="36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0" fillId="0" borderId="18" xfId="0" applyBorder="1" applyAlignment="1">
      <alignment vertical="center" wrapText="1"/>
    </xf>
    <xf numFmtId="0" fontId="0" fillId="10" borderId="18" xfId="0" applyFill="1" applyBorder="1" applyAlignment="1">
      <alignment vertical="center" wrapText="1"/>
    </xf>
    <xf numFmtId="0" fontId="0" fillId="10" borderId="11" xfId="0" applyFill="1" applyBorder="1" applyAlignment="1">
      <alignment vertical="center" wrapText="1"/>
    </xf>
    <xf numFmtId="0" fontId="0" fillId="10" borderId="37" xfId="0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D879B-2FC0-4CD8-BCBF-DB507AEE8661}">
  <dimension ref="A1:L50"/>
  <sheetViews>
    <sheetView topLeftCell="A24" workbookViewId="0">
      <selection activeCell="E33" sqref="E33"/>
    </sheetView>
  </sheetViews>
  <sheetFormatPr baseColWidth="10" defaultColWidth="11.42578125" defaultRowHeight="15" x14ac:dyDescent="0.25"/>
  <cols>
    <col min="1" max="1" width="40.28515625" style="33" customWidth="1"/>
    <col min="2" max="4" width="11.42578125" style="33"/>
    <col min="5" max="5" width="64.42578125" style="33" customWidth="1"/>
    <col min="6" max="16384" width="11.42578125" style="33"/>
  </cols>
  <sheetData>
    <row r="1" spans="1:4" ht="18.75" x14ac:dyDescent="0.25">
      <c r="A1" s="8" t="s">
        <v>108</v>
      </c>
    </row>
    <row r="3" spans="1:4" x14ac:dyDescent="0.25">
      <c r="A3" s="36" t="s">
        <v>0</v>
      </c>
      <c r="B3" s="50" t="s">
        <v>101</v>
      </c>
    </row>
    <row r="4" spans="1:4" x14ac:dyDescent="0.25">
      <c r="A4" s="36" t="s">
        <v>103</v>
      </c>
      <c r="B4" s="50" t="s">
        <v>104</v>
      </c>
    </row>
    <row r="5" spans="1:4" x14ac:dyDescent="0.25">
      <c r="A5" s="36" t="s">
        <v>106</v>
      </c>
      <c r="B5" s="50" t="s">
        <v>102</v>
      </c>
    </row>
    <row r="6" spans="1:4" x14ac:dyDescent="0.25">
      <c r="A6" s="36" t="s">
        <v>105</v>
      </c>
      <c r="B6" s="87">
        <v>1.5169999999999999</v>
      </c>
    </row>
    <row r="7" spans="1:4" x14ac:dyDescent="0.25">
      <c r="A7" s="36" t="s">
        <v>107</v>
      </c>
      <c r="B7" s="87">
        <v>1.4319999999999999</v>
      </c>
    </row>
    <row r="8" spans="1:4" x14ac:dyDescent="0.25">
      <c r="A8" s="79" t="s">
        <v>50</v>
      </c>
      <c r="B8" s="79">
        <f>1000*(B6-B7)</f>
        <v>84.999999999999972</v>
      </c>
    </row>
    <row r="9" spans="1:4" x14ac:dyDescent="0.25">
      <c r="A9" s="36" t="s">
        <v>51</v>
      </c>
      <c r="B9" s="36">
        <f>B8/15</f>
        <v>5.6666666666666652</v>
      </c>
    </row>
    <row r="10" spans="1:4" x14ac:dyDescent="0.25">
      <c r="A10" s="36" t="s">
        <v>53</v>
      </c>
      <c r="B10" s="87">
        <v>96</v>
      </c>
    </row>
    <row r="11" spans="1:4" x14ac:dyDescent="0.25">
      <c r="A11" s="36" t="s">
        <v>54</v>
      </c>
      <c r="B11" s="88">
        <f>2/3*B10</f>
        <v>64</v>
      </c>
    </row>
    <row r="12" spans="1:4" x14ac:dyDescent="0.25">
      <c r="A12" s="36" t="s">
        <v>52</v>
      </c>
      <c r="B12" s="88">
        <f>B9*B10</f>
        <v>543.99999999999989</v>
      </c>
    </row>
    <row r="14" spans="1:4" x14ac:dyDescent="0.25">
      <c r="B14" s="230" t="s">
        <v>84</v>
      </c>
      <c r="C14" s="231"/>
      <c r="D14" s="232"/>
    </row>
    <row r="15" spans="1:4" x14ac:dyDescent="0.25">
      <c r="A15" s="89"/>
      <c r="B15" s="90">
        <v>15</v>
      </c>
      <c r="C15" s="90">
        <f>2*B15</f>
        <v>30</v>
      </c>
      <c r="D15" s="90">
        <f>2*C15</f>
        <v>60</v>
      </c>
    </row>
    <row r="16" spans="1:4" x14ac:dyDescent="0.25">
      <c r="A16" s="79" t="s">
        <v>48</v>
      </c>
      <c r="B16" s="229">
        <v>7.5</v>
      </c>
      <c r="C16" s="229"/>
      <c r="D16" s="229"/>
    </row>
    <row r="17" spans="1:12" x14ac:dyDescent="0.25">
      <c r="A17" s="36" t="s">
        <v>55</v>
      </c>
      <c r="B17" s="54">
        <f>B15/$B16</f>
        <v>2</v>
      </c>
      <c r="C17" s="54">
        <f>C15/$B16</f>
        <v>4</v>
      </c>
      <c r="D17" s="54">
        <f>D15/$B16</f>
        <v>8</v>
      </c>
    </row>
    <row r="18" spans="1:12" x14ac:dyDescent="0.25">
      <c r="A18" s="36" t="s">
        <v>56</v>
      </c>
      <c r="B18" s="54">
        <f>12*B17</f>
        <v>24</v>
      </c>
      <c r="C18" s="54">
        <f>12*C17</f>
        <v>48</v>
      </c>
      <c r="D18" s="54">
        <f>12*D17</f>
        <v>96</v>
      </c>
    </row>
    <row r="19" spans="1:12" x14ac:dyDescent="0.25">
      <c r="A19" s="36" t="s">
        <v>47</v>
      </c>
      <c r="B19" s="229">
        <v>15</v>
      </c>
      <c r="C19" s="229"/>
      <c r="D19" s="229"/>
    </row>
    <row r="20" spans="1:12" x14ac:dyDescent="0.25">
      <c r="A20" s="39" t="s">
        <v>94</v>
      </c>
      <c r="B20" s="50"/>
      <c r="C20" s="50"/>
      <c r="D20" s="50"/>
    </row>
    <row r="21" spans="1:12" x14ac:dyDescent="0.25">
      <c r="A21" s="36" t="s">
        <v>85</v>
      </c>
      <c r="B21" s="50">
        <v>79</v>
      </c>
      <c r="C21" s="50">
        <v>38</v>
      </c>
      <c r="D21" s="50">
        <v>18</v>
      </c>
      <c r="E21" s="36" t="s">
        <v>49</v>
      </c>
      <c r="J21" s="97"/>
      <c r="K21" s="97"/>
      <c r="L21" s="98"/>
    </row>
    <row r="22" spans="1:12" x14ac:dyDescent="0.25">
      <c r="A22" s="36" t="s">
        <v>86</v>
      </c>
      <c r="B22" s="91">
        <f>($B$19*1000-B25*B$15)/2</f>
        <v>382.5</v>
      </c>
      <c r="C22" s="91">
        <f t="shared" ref="C22:D22" si="0">($B$19*1000-C25*C$15)/2</f>
        <v>645</v>
      </c>
      <c r="D22" s="91">
        <f t="shared" si="0"/>
        <v>990</v>
      </c>
      <c r="L22" s="98"/>
    </row>
    <row r="23" spans="1:12" x14ac:dyDescent="0.25">
      <c r="A23" s="36" t="s">
        <v>87</v>
      </c>
      <c r="B23" s="92">
        <f>B22/B$15/12</f>
        <v>2.125</v>
      </c>
      <c r="C23" s="92">
        <f t="shared" ref="C23:D23" si="1">C22/C$15/12</f>
        <v>1.7916666666666667</v>
      </c>
      <c r="D23" s="92">
        <f t="shared" si="1"/>
        <v>1.375</v>
      </c>
      <c r="J23" s="99"/>
    </row>
    <row r="24" spans="1:12" x14ac:dyDescent="0.25">
      <c r="A24" s="36" t="s">
        <v>88</v>
      </c>
      <c r="B24" s="92">
        <f>B22/$B16</f>
        <v>51</v>
      </c>
      <c r="C24" s="92">
        <f>C22/$B16</f>
        <v>86</v>
      </c>
      <c r="D24" s="92">
        <f>D22/$B16</f>
        <v>132</v>
      </c>
    </row>
    <row r="25" spans="1:12" x14ac:dyDescent="0.25">
      <c r="A25" s="36" t="s">
        <v>96</v>
      </c>
      <c r="B25" s="54">
        <f>12*B21+1</f>
        <v>949</v>
      </c>
      <c r="C25" s="54">
        <f>12*C21+1</f>
        <v>457</v>
      </c>
      <c r="D25" s="54">
        <f>12*D21+1</f>
        <v>217</v>
      </c>
    </row>
    <row r="26" spans="1:12" x14ac:dyDescent="0.25">
      <c r="A26" s="36" t="s">
        <v>97</v>
      </c>
      <c r="B26" s="95">
        <f>B25*B$17</f>
        <v>1898</v>
      </c>
      <c r="C26" s="95">
        <f t="shared" ref="C26:D26" si="2">C25*C$17</f>
        <v>1828</v>
      </c>
      <c r="D26" s="95">
        <f t="shared" si="2"/>
        <v>1736</v>
      </c>
    </row>
    <row r="27" spans="1:12" x14ac:dyDescent="0.25">
      <c r="A27" s="36" t="s">
        <v>95</v>
      </c>
      <c r="B27" s="95">
        <f>B21*12</f>
        <v>948</v>
      </c>
      <c r="C27" s="95">
        <f>C21*12</f>
        <v>456</v>
      </c>
      <c r="D27" s="95">
        <f t="shared" ref="D27" si="3">D21*12</f>
        <v>216</v>
      </c>
    </row>
    <row r="28" spans="1:12" x14ac:dyDescent="0.25">
      <c r="A28" s="36" t="s">
        <v>98</v>
      </c>
      <c r="B28" s="95">
        <f>B27*B$17</f>
        <v>1896</v>
      </c>
      <c r="C28" s="95">
        <f t="shared" ref="C28" si="4">C27*C$17</f>
        <v>1824</v>
      </c>
      <c r="D28" s="95">
        <f t="shared" ref="D28" si="5">D27*D$17</f>
        <v>1728</v>
      </c>
    </row>
    <row r="29" spans="1:12" x14ac:dyDescent="0.25">
      <c r="A29" s="226" t="s">
        <v>57</v>
      </c>
      <c r="B29" s="227"/>
      <c r="C29" s="227"/>
      <c r="D29" s="228"/>
    </row>
    <row r="30" spans="1:12" ht="30" x14ac:dyDescent="0.25">
      <c r="A30" s="36" t="s">
        <v>91</v>
      </c>
      <c r="B30" s="50">
        <v>4</v>
      </c>
      <c r="C30" s="50">
        <v>4</v>
      </c>
      <c r="D30" s="50">
        <v>2</v>
      </c>
      <c r="E30" s="245" t="s">
        <v>330</v>
      </c>
      <c r="H30" s="96"/>
      <c r="I30" s="96"/>
      <c r="J30" s="96"/>
    </row>
    <row r="31" spans="1:12" ht="60" x14ac:dyDescent="0.25">
      <c r="A31" s="36" t="s">
        <v>92</v>
      </c>
      <c r="B31" s="93">
        <f>B30+INT(B21/2)</f>
        <v>43</v>
      </c>
      <c r="C31" s="94"/>
      <c r="D31" s="94"/>
      <c r="E31" s="245" t="s">
        <v>331</v>
      </c>
    </row>
    <row r="32" spans="1:12" x14ac:dyDescent="0.25">
      <c r="A32" s="36" t="s">
        <v>89</v>
      </c>
      <c r="B32" s="93">
        <f>IF(ISEVEN(B21),0,6)</f>
        <v>6</v>
      </c>
      <c r="C32" s="94"/>
      <c r="D32" s="94"/>
    </row>
    <row r="33" spans="1:5" ht="30" x14ac:dyDescent="0.25">
      <c r="A33" s="3" t="s">
        <v>90</v>
      </c>
      <c r="B33" s="50">
        <v>0</v>
      </c>
      <c r="C33" s="50">
        <v>1</v>
      </c>
      <c r="D33" s="50">
        <v>1</v>
      </c>
      <c r="E33" s="53"/>
    </row>
    <row r="34" spans="1:5" x14ac:dyDescent="0.25">
      <c r="A34" s="36" t="s">
        <v>93</v>
      </c>
      <c r="B34" s="93">
        <f>B30+B21-B33-1</f>
        <v>82</v>
      </c>
      <c r="C34" s="93">
        <f>C30+C21-C33-1</f>
        <v>40</v>
      </c>
      <c r="D34" s="93">
        <f>D30+D21-D33-1</f>
        <v>18</v>
      </c>
    </row>
    <row r="36" spans="1:5" x14ac:dyDescent="0.25">
      <c r="A36" s="39" t="s">
        <v>99</v>
      </c>
    </row>
    <row r="37" spans="1:5" x14ac:dyDescent="0.25">
      <c r="A37" s="36" t="s">
        <v>85</v>
      </c>
      <c r="B37" s="50">
        <v>27</v>
      </c>
      <c r="C37" s="50">
        <f>C21-((B21-B37)/2)</f>
        <v>12</v>
      </c>
      <c r="D37" s="50">
        <f>D21-((B21-B37)/4)</f>
        <v>5</v>
      </c>
    </row>
    <row r="38" spans="1:5" x14ac:dyDescent="0.25">
      <c r="A38" s="36" t="s">
        <v>86</v>
      </c>
      <c r="B38" s="91">
        <f>($B$19*1000-B41*B$15)/2</f>
        <v>5062.5</v>
      </c>
      <c r="C38" s="91">
        <f t="shared" ref="C38:D38" si="6">($B$19*1000-C41*C$15)/2</f>
        <v>5325</v>
      </c>
      <c r="D38" s="91">
        <f t="shared" si="6"/>
        <v>5670</v>
      </c>
    </row>
    <row r="39" spans="1:5" x14ac:dyDescent="0.25">
      <c r="A39" s="36" t="s">
        <v>87</v>
      </c>
      <c r="B39" s="92">
        <f>B38/B$15/12</f>
        <v>28.125</v>
      </c>
      <c r="C39" s="92">
        <f t="shared" ref="C39" si="7">C38/C$15/12</f>
        <v>14.791666666666666</v>
      </c>
      <c r="D39" s="92">
        <f t="shared" ref="D39" si="8">D38/D$15/12</f>
        <v>7.875</v>
      </c>
    </row>
    <row r="40" spans="1:5" x14ac:dyDescent="0.25">
      <c r="A40" s="36" t="s">
        <v>88</v>
      </c>
      <c r="B40" s="92">
        <f>B38/$B32</f>
        <v>843.75</v>
      </c>
      <c r="C40" s="92">
        <f>C38/$B32</f>
        <v>887.5</v>
      </c>
      <c r="D40" s="92">
        <f>D38/$B32</f>
        <v>945</v>
      </c>
    </row>
    <row r="41" spans="1:5" x14ac:dyDescent="0.25">
      <c r="A41" s="36" t="s">
        <v>96</v>
      </c>
      <c r="B41" s="54">
        <f>12*B37+1</f>
        <v>325</v>
      </c>
      <c r="C41" s="54">
        <f>12*C37+1</f>
        <v>145</v>
      </c>
      <c r="D41" s="54">
        <f>12*D37+1</f>
        <v>61</v>
      </c>
    </row>
    <row r="42" spans="1:5" x14ac:dyDescent="0.25">
      <c r="A42" s="36" t="s">
        <v>97</v>
      </c>
      <c r="B42" s="95">
        <f>B41*B$17</f>
        <v>650</v>
      </c>
      <c r="C42" s="95">
        <f t="shared" ref="C42" si="9">C41*C$17</f>
        <v>580</v>
      </c>
      <c r="D42" s="95">
        <f t="shared" ref="D42" si="10">D41*D$17</f>
        <v>488</v>
      </c>
    </row>
    <row r="43" spans="1:5" x14ac:dyDescent="0.25">
      <c r="A43" s="36" t="s">
        <v>95</v>
      </c>
      <c r="B43" s="95">
        <f>B37*12</f>
        <v>324</v>
      </c>
      <c r="C43" s="95">
        <f>C37*12</f>
        <v>144</v>
      </c>
      <c r="D43" s="95">
        <f t="shared" ref="D43" si="11">D37*12</f>
        <v>60</v>
      </c>
    </row>
    <row r="44" spans="1:5" ht="30" x14ac:dyDescent="0.25">
      <c r="A44" s="36" t="s">
        <v>98</v>
      </c>
      <c r="B44" s="95">
        <f>B43*B$17</f>
        <v>648</v>
      </c>
      <c r="C44" s="95">
        <f t="shared" ref="C44" si="12">C43*C$17</f>
        <v>576</v>
      </c>
      <c r="D44" s="95">
        <f t="shared" ref="D44" si="13">D43*D$17</f>
        <v>480</v>
      </c>
      <c r="E44" s="245" t="str">
        <f>E30</f>
        <v>This is the manually computed adjustment, that depends on where Point A has been placed.</v>
      </c>
    </row>
    <row r="45" spans="1:5" x14ac:dyDescent="0.25">
      <c r="A45" s="226" t="s">
        <v>57</v>
      </c>
      <c r="B45" s="227"/>
      <c r="C45" s="227"/>
      <c r="D45" s="228"/>
    </row>
    <row r="46" spans="1:5" x14ac:dyDescent="0.25">
      <c r="A46" s="36" t="s">
        <v>91</v>
      </c>
      <c r="B46" s="93">
        <f>B30</f>
        <v>4</v>
      </c>
      <c r="C46" s="93">
        <f t="shared" ref="C46:D46" si="14">C30</f>
        <v>4</v>
      </c>
      <c r="D46" s="93">
        <f t="shared" si="14"/>
        <v>2</v>
      </c>
    </row>
    <row r="47" spans="1:5" ht="60" x14ac:dyDescent="0.25">
      <c r="A47" s="36" t="s">
        <v>92</v>
      </c>
      <c r="B47" s="93">
        <f>B46+INT(B37/2)</f>
        <v>17</v>
      </c>
      <c r="C47" s="94"/>
      <c r="D47" s="94"/>
      <c r="E47" s="245" t="str">
        <f>E31</f>
        <v>This is the manually computed adjustment, that depends on whether the quantiy of RBs is even or odd, and on where Point A has been placed. For the SCS that is aligned to the carrier raster, the adjustment is always zero.</v>
      </c>
    </row>
    <row r="48" spans="1:5" x14ac:dyDescent="0.25">
      <c r="A48" s="36" t="s">
        <v>89</v>
      </c>
      <c r="B48" s="93">
        <f>IF(ISEVEN(B37),0,6)</f>
        <v>6</v>
      </c>
      <c r="C48" s="94"/>
      <c r="D48" s="94"/>
    </row>
    <row r="49" spans="1:4" ht="30" x14ac:dyDescent="0.25">
      <c r="A49" s="3" t="s">
        <v>90</v>
      </c>
      <c r="B49" s="93">
        <f>B33</f>
        <v>0</v>
      </c>
      <c r="C49" s="93">
        <f t="shared" ref="C49:D49" si="15">C33</f>
        <v>1</v>
      </c>
      <c r="D49" s="93">
        <f t="shared" si="15"/>
        <v>1</v>
      </c>
    </row>
    <row r="50" spans="1:4" x14ac:dyDescent="0.25">
      <c r="A50" s="36" t="s">
        <v>93</v>
      </c>
      <c r="B50" s="93">
        <f>B46+B37-B49-1</f>
        <v>30</v>
      </c>
      <c r="C50" s="93">
        <f>C46+C37-C49-1</f>
        <v>14</v>
      </c>
      <c r="D50" s="93">
        <f>D46+D37-D49-1</f>
        <v>5</v>
      </c>
    </row>
  </sheetData>
  <mergeCells count="5">
    <mergeCell ref="A45:D45"/>
    <mergeCell ref="B16:D16"/>
    <mergeCell ref="B19:D19"/>
    <mergeCell ref="B14:D14"/>
    <mergeCell ref="A29:D2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CA732-7AC8-4CB4-9357-95D621850D8D}">
  <dimension ref="A1:G192"/>
  <sheetViews>
    <sheetView workbookViewId="0">
      <pane xSplit="1" ySplit="3" topLeftCell="B160" activePane="bottomRight" state="frozenSplit"/>
      <selection pane="topRight" activeCell="B1" sqref="B1"/>
      <selection pane="bottomLeft" activeCell="A5" sqref="A5"/>
      <selection pane="bottomRight" activeCell="D105" sqref="D105"/>
    </sheetView>
  </sheetViews>
  <sheetFormatPr baseColWidth="10" defaultColWidth="11.42578125" defaultRowHeight="15" x14ac:dyDescent="0.25"/>
  <cols>
    <col min="1" max="1" width="39.28515625" style="1" customWidth="1"/>
    <col min="2" max="2" width="14" style="1" customWidth="1"/>
    <col min="3" max="3" width="63" style="1" customWidth="1"/>
    <col min="4" max="4" width="76.140625" style="1" customWidth="1"/>
    <col min="5" max="5" width="20.140625" style="1" bestFit="1" customWidth="1"/>
    <col min="6" max="16384" width="11.42578125" style="1"/>
  </cols>
  <sheetData>
    <row r="1" spans="1:3" ht="18.75" x14ac:dyDescent="0.25">
      <c r="A1" s="8" t="s">
        <v>109</v>
      </c>
    </row>
    <row r="2" spans="1:3" x14ac:dyDescent="0.25">
      <c r="A2" s="100" t="s">
        <v>65</v>
      </c>
      <c r="B2" s="43"/>
      <c r="C2" s="43"/>
    </row>
    <row r="3" spans="1:3" x14ac:dyDescent="0.25">
      <c r="A3" s="2" t="s">
        <v>2</v>
      </c>
      <c r="B3" s="2" t="s">
        <v>3</v>
      </c>
      <c r="C3" s="2" t="s">
        <v>1</v>
      </c>
    </row>
    <row r="4" spans="1:3" x14ac:dyDescent="0.25">
      <c r="A4" s="5" t="s">
        <v>59</v>
      </c>
      <c r="B4" s="49">
        <v>12</v>
      </c>
      <c r="C4" s="5" t="s">
        <v>36</v>
      </c>
    </row>
    <row r="5" spans="1:3" ht="15.75" thickBot="1" x14ac:dyDescent="0.3">
      <c r="A5" s="15"/>
      <c r="B5" s="14"/>
      <c r="C5" s="15"/>
    </row>
    <row r="6" spans="1:3" ht="16.5" thickBot="1" x14ac:dyDescent="0.3">
      <c r="A6" s="82" t="s">
        <v>35</v>
      </c>
      <c r="B6" s="83"/>
      <c r="C6" s="84"/>
    </row>
    <row r="7" spans="1:3" x14ac:dyDescent="0.25">
      <c r="A7" s="80" t="s">
        <v>0</v>
      </c>
      <c r="B7" s="81" t="s">
        <v>4</v>
      </c>
      <c r="C7" s="66" t="s">
        <v>14</v>
      </c>
    </row>
    <row r="8" spans="1:3" x14ac:dyDescent="0.25">
      <c r="A8" s="101" t="s">
        <v>135</v>
      </c>
      <c r="B8" s="102" t="s">
        <v>171</v>
      </c>
      <c r="C8" s="66" t="s">
        <v>172</v>
      </c>
    </row>
    <row r="9" spans="1:3" x14ac:dyDescent="0.25">
      <c r="A9" s="60" t="s">
        <v>106</v>
      </c>
      <c r="B9" s="102" t="s">
        <v>102</v>
      </c>
      <c r="C9" s="3" t="s">
        <v>172</v>
      </c>
    </row>
    <row r="10" spans="1:3" ht="15.75" thickBot="1" x14ac:dyDescent="0.3">
      <c r="A10" s="7"/>
      <c r="B10" s="14"/>
    </row>
    <row r="11" spans="1:3" ht="16.5" thickBot="1" x14ac:dyDescent="0.3">
      <c r="A11" s="69" t="s">
        <v>7</v>
      </c>
      <c r="B11" s="85"/>
      <c r="C11" s="71"/>
    </row>
    <row r="12" spans="1:3" ht="30" x14ac:dyDescent="0.25">
      <c r="A12" s="75" t="s">
        <v>58</v>
      </c>
      <c r="B12" s="76">
        <v>100</v>
      </c>
      <c r="C12" s="66" t="s">
        <v>40</v>
      </c>
    </row>
    <row r="13" spans="1:3" ht="15.75" thickBot="1" x14ac:dyDescent="0.3">
      <c r="A13" s="36"/>
      <c r="B13" s="87"/>
      <c r="C13" s="36"/>
    </row>
    <row r="14" spans="1:3" ht="16.5" thickBot="1" x14ac:dyDescent="0.3">
      <c r="A14" s="78" t="str">
        <f>"Channel configuration for  SCS= " &amp; B15 &amp; ", which is the carrier aligned with the carrier raster"</f>
        <v>Channel configuration for  SCS= 60, which is the carrier aligned with the carrier raster</v>
      </c>
      <c r="B14" s="70"/>
      <c r="C14" s="71"/>
    </row>
    <row r="15" spans="1:3" ht="30" x14ac:dyDescent="0.25">
      <c r="A15" s="3" t="s">
        <v>246</v>
      </c>
      <c r="B15" s="6">
        <v>60</v>
      </c>
      <c r="C15" s="3" t="s">
        <v>136</v>
      </c>
    </row>
    <row r="16" spans="1:3" ht="30" x14ac:dyDescent="0.25">
      <c r="A16" s="3" t="s">
        <v>61</v>
      </c>
      <c r="B16" s="3">
        <f>$B$4*B15</f>
        <v>720</v>
      </c>
      <c r="C16" s="3" t="s">
        <v>5</v>
      </c>
    </row>
    <row r="17" spans="1:5" x14ac:dyDescent="0.25">
      <c r="A17" s="3" t="s">
        <v>64</v>
      </c>
      <c r="B17" s="6">
        <v>132</v>
      </c>
      <c r="C17" s="3" t="s">
        <v>41</v>
      </c>
    </row>
    <row r="18" spans="1:5" x14ac:dyDescent="0.25">
      <c r="A18" s="3" t="s">
        <v>63</v>
      </c>
      <c r="B18" s="3">
        <f>B$12-2*B19</f>
        <v>95.1</v>
      </c>
      <c r="C18" s="3" t="s">
        <v>5</v>
      </c>
    </row>
    <row r="19" spans="1:5" ht="30" x14ac:dyDescent="0.25">
      <c r="A19" s="3" t="s">
        <v>60</v>
      </c>
      <c r="B19" s="6">
        <v>2.4500000000000002</v>
      </c>
      <c r="C19" s="3" t="s">
        <v>42</v>
      </c>
    </row>
    <row r="20" spans="1:5" x14ac:dyDescent="0.25">
      <c r="A20" s="3" t="s">
        <v>62</v>
      </c>
      <c r="B20" s="3">
        <f>1000*(B$12-2*B19)-B17*B16</f>
        <v>60</v>
      </c>
      <c r="C20" s="3" t="s">
        <v>137</v>
      </c>
      <c r="E20" s="4"/>
    </row>
    <row r="21" spans="1:5" x14ac:dyDescent="0.25">
      <c r="A21" s="51" t="s">
        <v>16</v>
      </c>
      <c r="B21" s="52" t="str">
        <f>IF(ABS(B20-B15)&lt;0.000001,"ok","ERROR!!!")</f>
        <v>ok</v>
      </c>
      <c r="E21" s="4"/>
    </row>
    <row r="22" spans="1:5" ht="15.75" thickBot="1" x14ac:dyDescent="0.3">
      <c r="B22" s="104"/>
      <c r="E22" s="4"/>
    </row>
    <row r="23" spans="1:5" ht="16.5" thickBot="1" x14ac:dyDescent="0.3">
      <c r="A23" s="78" t="str">
        <f>"Channel configuration for  SCS= " &amp; B24 &amp; ", which is NOT the carrier aligned with the carrier raster"</f>
        <v>Channel configuration for  SCS= 120, which is NOT the carrier aligned with the carrier raster</v>
      </c>
      <c r="B23" s="70"/>
      <c r="C23" s="71"/>
      <c r="D23" s="53" t="s">
        <v>192</v>
      </c>
    </row>
    <row r="24" spans="1:5" ht="45" x14ac:dyDescent="0.25">
      <c r="A24" s="3" t="s">
        <v>247</v>
      </c>
      <c r="B24" s="6">
        <v>120</v>
      </c>
      <c r="C24" s="3" t="s">
        <v>136</v>
      </c>
      <c r="E24" s="4"/>
    </row>
    <row r="25" spans="1:5" ht="30" x14ac:dyDescent="0.25">
      <c r="A25" s="3" t="s">
        <v>61</v>
      </c>
      <c r="B25" s="9">
        <f>$B$4*B24</f>
        <v>1440</v>
      </c>
      <c r="C25" s="3" t="s">
        <v>5</v>
      </c>
      <c r="E25" s="4"/>
    </row>
    <row r="26" spans="1:5" x14ac:dyDescent="0.25">
      <c r="A26" s="3" t="s">
        <v>64</v>
      </c>
      <c r="B26" s="6">
        <v>66</v>
      </c>
      <c r="C26" s="3" t="s">
        <v>41</v>
      </c>
      <c r="E26" s="4"/>
    </row>
    <row r="27" spans="1:5" x14ac:dyDescent="0.25">
      <c r="A27" s="3" t="s">
        <v>63</v>
      </c>
      <c r="B27" s="3">
        <f>B$12-2*B28</f>
        <v>95.16</v>
      </c>
      <c r="C27" s="3" t="s">
        <v>5</v>
      </c>
      <c r="E27" s="4"/>
    </row>
    <row r="28" spans="1:5" ht="30" x14ac:dyDescent="0.25">
      <c r="A28" s="3" t="s">
        <v>138</v>
      </c>
      <c r="B28" s="6">
        <v>2.42</v>
      </c>
      <c r="C28" s="3" t="s">
        <v>42</v>
      </c>
      <c r="E28" s="4"/>
    </row>
    <row r="29" spans="1:5" x14ac:dyDescent="0.25">
      <c r="A29" s="3" t="s">
        <v>62</v>
      </c>
      <c r="B29" s="3">
        <f>1000*(B$12-2*B28)-B26*B25</f>
        <v>120</v>
      </c>
      <c r="C29" s="3" t="s">
        <v>137</v>
      </c>
      <c r="E29" s="4"/>
    </row>
    <row r="30" spans="1:5" x14ac:dyDescent="0.25">
      <c r="A30" s="51" t="s">
        <v>16</v>
      </c>
      <c r="B30" s="52" t="str">
        <f>IF(ABS(B29-B24)&lt;0.000001,"ok","ERROR!!!")</f>
        <v>ok</v>
      </c>
      <c r="C30" s="3"/>
      <c r="E30" s="4"/>
    </row>
    <row r="31" spans="1:5" ht="15.75" thickBot="1" x14ac:dyDescent="0.3"/>
    <row r="32" spans="1:5" ht="16.5" thickBot="1" x14ac:dyDescent="0.3">
      <c r="A32" s="78" t="s">
        <v>238</v>
      </c>
      <c r="B32" s="70"/>
      <c r="C32" s="71"/>
    </row>
    <row r="33" spans="1:5" x14ac:dyDescent="0.25">
      <c r="A33" s="66" t="s">
        <v>11</v>
      </c>
      <c r="B33" s="77">
        <v>2104165</v>
      </c>
      <c r="C33" s="66" t="s">
        <v>43</v>
      </c>
    </row>
    <row r="34" spans="1:5" x14ac:dyDescent="0.25">
      <c r="A34" s="3" t="s">
        <v>10</v>
      </c>
      <c r="B34" s="10">
        <v>2054166</v>
      </c>
      <c r="C34" s="3" t="s">
        <v>43</v>
      </c>
    </row>
    <row r="35" spans="1:5" x14ac:dyDescent="0.25">
      <c r="A35" s="3" t="s">
        <v>12</v>
      </c>
      <c r="B35" s="10">
        <v>1</v>
      </c>
      <c r="C35" s="3" t="s">
        <v>43</v>
      </c>
    </row>
    <row r="36" spans="1:5" x14ac:dyDescent="0.25">
      <c r="A36" s="44" t="s">
        <v>13</v>
      </c>
      <c r="B36" s="46">
        <v>2074167</v>
      </c>
      <c r="C36" s="3" t="s">
        <v>14</v>
      </c>
    </row>
    <row r="37" spans="1:5" ht="30" x14ac:dyDescent="0.25">
      <c r="A37" s="3" t="s">
        <v>66</v>
      </c>
      <c r="B37" s="103">
        <v>27700.080000000002</v>
      </c>
      <c r="C37" s="3" t="s">
        <v>15</v>
      </c>
    </row>
    <row r="38" spans="1:5" ht="30" x14ac:dyDescent="0.25">
      <c r="A38" s="3" t="str">
        <f>"Center of Subcarrier 0 of the " &amp; B15&amp; " kHz Carrier [MHz]"</f>
        <v>Center of Subcarrier 0 of the 60 kHz Carrier [MHz]</v>
      </c>
      <c r="B38" s="11">
        <f>B37-(B16*B17/2/1000)</f>
        <v>27652.560000000001</v>
      </c>
      <c r="C38" s="3" t="s">
        <v>5</v>
      </c>
      <c r="E38" s="13"/>
    </row>
    <row r="39" spans="1:5" ht="58.9" customHeight="1" x14ac:dyDescent="0.25">
      <c r="A39" s="3" t="s">
        <v>140</v>
      </c>
      <c r="B39" s="10">
        <v>0</v>
      </c>
      <c r="C39" s="3" t="s">
        <v>158</v>
      </c>
    </row>
    <row r="40" spans="1:5" ht="30" x14ac:dyDescent="0.25">
      <c r="A40" s="55" t="s">
        <v>110</v>
      </c>
      <c r="B40" s="11">
        <f>B38+B39*B16/1000</f>
        <v>27652.560000000001</v>
      </c>
      <c r="C40" s="3" t="s">
        <v>157</v>
      </c>
    </row>
    <row r="41" spans="1:5" ht="30" x14ac:dyDescent="0.25">
      <c r="A41" s="3" t="s">
        <v>17</v>
      </c>
      <c r="B41" s="10">
        <v>2073375</v>
      </c>
      <c r="C41" s="3" t="s">
        <v>67</v>
      </c>
      <c r="D41" s="245" t="s">
        <v>159</v>
      </c>
    </row>
    <row r="42" spans="1:5" ht="15.75" thickBot="1" x14ac:dyDescent="0.3"/>
    <row r="43" spans="1:5" ht="16.5" thickBot="1" x14ac:dyDescent="0.3">
      <c r="A43" s="78" t="str">
        <f>"Location of Usable CRB Grid for subcarrier spacing " &amp;B15 &amp; "kHz (the one aligned with the carrier raster)"</f>
        <v>Location of Usable CRB Grid for subcarrier spacing 60kHz (the one aligned with the carrier raster)</v>
      </c>
      <c r="B43" s="105"/>
      <c r="C43" s="106"/>
    </row>
    <row r="44" spans="1:5" ht="15.75" x14ac:dyDescent="0.25">
      <c r="A44" s="36" t="s">
        <v>195</v>
      </c>
      <c r="B44" s="9">
        <f>B46-B$39</f>
        <v>131</v>
      </c>
      <c r="C44" s="108"/>
    </row>
    <row r="45" spans="1:5" ht="15.75" x14ac:dyDescent="0.25">
      <c r="A45" s="79" t="s">
        <v>141</v>
      </c>
      <c r="B45" s="11">
        <f>B55+B$26*B$25/1000</f>
        <v>27747.570000000003</v>
      </c>
      <c r="C45" s="109"/>
    </row>
    <row r="46" spans="1:5" ht="15.75" x14ac:dyDescent="0.25">
      <c r="A46" s="36" t="s">
        <v>144</v>
      </c>
      <c r="B46" s="9">
        <f>B56+B17-1</f>
        <v>131</v>
      </c>
      <c r="C46" s="108"/>
    </row>
    <row r="47" spans="1:5" ht="15.75" x14ac:dyDescent="0.25">
      <c r="A47" s="36" t="s">
        <v>198</v>
      </c>
      <c r="B47" s="9">
        <f>B44+B54+1</f>
        <v>132</v>
      </c>
      <c r="C47" s="108"/>
    </row>
    <row r="48" spans="1:5" ht="15.75" x14ac:dyDescent="0.25">
      <c r="A48" s="51" t="s">
        <v>16</v>
      </c>
      <c r="B48" s="52" t="str">
        <f>IF(ABS(B47-(B46-B56+1))&lt;0.000001,"ok","ERROR!!!")</f>
        <v>ok</v>
      </c>
      <c r="C48" s="108"/>
    </row>
    <row r="49" spans="1:4" ht="30" x14ac:dyDescent="0.25">
      <c r="A49" s="3" t="s">
        <v>196</v>
      </c>
      <c r="B49" s="9">
        <f>INT(B47/2)</f>
        <v>66</v>
      </c>
      <c r="C49" s="108"/>
    </row>
    <row r="50" spans="1:4" ht="15.75" x14ac:dyDescent="0.25">
      <c r="A50" s="3" t="s">
        <v>143</v>
      </c>
      <c r="B50" s="9">
        <f>B49-B$39</f>
        <v>66</v>
      </c>
      <c r="C50" s="108"/>
    </row>
    <row r="51" spans="1:4" ht="15.75" x14ac:dyDescent="0.25">
      <c r="A51" s="36" t="s">
        <v>146</v>
      </c>
      <c r="B51" s="9">
        <f>IF(ISEVEN(B47),0,6)</f>
        <v>0</v>
      </c>
      <c r="C51" s="108"/>
    </row>
    <row r="52" spans="1:4" ht="30" x14ac:dyDescent="0.25">
      <c r="A52" s="3" t="s">
        <v>194</v>
      </c>
      <c r="B52" s="9">
        <f>B49*B$4+B51</f>
        <v>792</v>
      </c>
      <c r="C52" s="108"/>
    </row>
    <row r="53" spans="1:4" ht="15.75" x14ac:dyDescent="0.25">
      <c r="A53" s="36" t="s">
        <v>193</v>
      </c>
      <c r="B53" s="11">
        <f>B55+(B52+0.5)*B15/1000</f>
        <v>27700.080000000002</v>
      </c>
      <c r="C53" s="108"/>
    </row>
    <row r="54" spans="1:4" ht="15.75" x14ac:dyDescent="0.25">
      <c r="A54" s="36" t="s">
        <v>197</v>
      </c>
      <c r="B54" s="9">
        <f>B56-B$39</f>
        <v>0</v>
      </c>
      <c r="C54" s="108"/>
      <c r="D54" s="30"/>
    </row>
    <row r="55" spans="1:4" ht="15.75" x14ac:dyDescent="0.25">
      <c r="A55" s="3" t="s">
        <v>142</v>
      </c>
      <c r="B55" s="11">
        <f>B$40+B56*B16-B15/2/1000</f>
        <v>27652.530000000002</v>
      </c>
      <c r="C55" s="108"/>
    </row>
    <row r="56" spans="1:4" ht="15.75" x14ac:dyDescent="0.25">
      <c r="A56" s="36" t="s">
        <v>145</v>
      </c>
      <c r="B56" s="9">
        <f>-B$39</f>
        <v>0</v>
      </c>
      <c r="C56" s="108"/>
      <c r="D56" s="30"/>
    </row>
    <row r="57" spans="1:4" ht="15.75" x14ac:dyDescent="0.25">
      <c r="A57" s="51" t="s">
        <v>16</v>
      </c>
      <c r="B57" s="52" t="str">
        <f>IF(ABS((B45-B55)-(B18-B20/1000))&lt;0.000001,"ok","ERROR!!!")</f>
        <v>ok</v>
      </c>
      <c r="C57" s="108"/>
    </row>
    <row r="58" spans="1:4" ht="16.5" thickBot="1" x14ac:dyDescent="0.3">
      <c r="B58" s="104"/>
      <c r="C58" s="107"/>
    </row>
    <row r="59" spans="1:4" ht="16.5" thickBot="1" x14ac:dyDescent="0.3">
      <c r="A59" s="78" t="str">
        <f>"Location of Usable CRB Grid for subcarrier spacing " &amp; B24 &amp; "kHz (the one NOT aligned with the carrier raster)"</f>
        <v>Location of Usable CRB Grid for subcarrier spacing 120kHz (the one NOT aligned with the carrier raster)</v>
      </c>
      <c r="B59" s="105"/>
      <c r="C59" s="105"/>
      <c r="D59" s="246" t="s">
        <v>192</v>
      </c>
    </row>
    <row r="60" spans="1:4" ht="15.75" x14ac:dyDescent="0.25">
      <c r="A60" s="36" t="s">
        <v>195</v>
      </c>
      <c r="B60" s="9">
        <f>B62-B$39</f>
        <v>65</v>
      </c>
      <c r="C60" s="108"/>
      <c r="D60" s="53"/>
    </row>
    <row r="61" spans="1:4" ht="15.75" x14ac:dyDescent="0.25">
      <c r="A61" s="79" t="s">
        <v>141</v>
      </c>
      <c r="B61" s="11">
        <f>B71+B63*B$25/1000</f>
        <v>27747.54</v>
      </c>
      <c r="C61" s="109"/>
      <c r="D61" s="53"/>
    </row>
    <row r="62" spans="1:4" ht="15.75" x14ac:dyDescent="0.25">
      <c r="A62" s="36" t="s">
        <v>144</v>
      </c>
      <c r="B62" s="110">
        <v>65</v>
      </c>
      <c r="C62" s="111" t="s">
        <v>147</v>
      </c>
      <c r="D62" s="53"/>
    </row>
    <row r="63" spans="1:4" ht="15.75" x14ac:dyDescent="0.25">
      <c r="A63" s="36" t="s">
        <v>198</v>
      </c>
      <c r="B63" s="9">
        <f>B60+B70+1</f>
        <v>66</v>
      </c>
      <c r="C63" s="108"/>
      <c r="D63" s="53"/>
    </row>
    <row r="64" spans="1:4" ht="15.75" x14ac:dyDescent="0.25">
      <c r="A64" s="51" t="s">
        <v>16</v>
      </c>
      <c r="B64" s="52" t="str">
        <f>IF(ABS(B63-(B62-B72+1))&lt;0.000001,"ok","ERROR!!!")</f>
        <v>ok</v>
      </c>
      <c r="C64" s="108"/>
      <c r="D64" s="53"/>
    </row>
    <row r="65" spans="1:4" ht="30" x14ac:dyDescent="0.25">
      <c r="A65" s="3" t="s">
        <v>196</v>
      </c>
      <c r="B65" s="9">
        <f>INT(B63/2)</f>
        <v>33</v>
      </c>
      <c r="C65" s="108"/>
      <c r="D65" s="53"/>
    </row>
    <row r="66" spans="1:4" ht="15.75" x14ac:dyDescent="0.25">
      <c r="A66" s="3" t="s">
        <v>143</v>
      </c>
      <c r="B66" s="9">
        <f>B65-B$39</f>
        <v>33</v>
      </c>
      <c r="C66" s="108"/>
      <c r="D66" s="53"/>
    </row>
    <row r="67" spans="1:4" ht="15.75" x14ac:dyDescent="0.25">
      <c r="A67" s="36" t="s">
        <v>146</v>
      </c>
      <c r="B67" s="9">
        <f>IF(ISEVEN(B63),0,6)</f>
        <v>0</v>
      </c>
      <c r="C67" s="108"/>
      <c r="D67" s="53"/>
    </row>
    <row r="68" spans="1:4" ht="30" x14ac:dyDescent="0.25">
      <c r="A68" s="3" t="s">
        <v>194</v>
      </c>
      <c r="B68" s="9">
        <f>B65*B$4+B67</f>
        <v>396</v>
      </c>
      <c r="C68" s="108"/>
      <c r="D68" s="53"/>
    </row>
    <row r="69" spans="1:4" ht="15.75" x14ac:dyDescent="0.25">
      <c r="A69" s="36" t="s">
        <v>193</v>
      </c>
      <c r="B69" s="11">
        <f>B71+(B68+0.5)*B24/1000</f>
        <v>27700.080000000002</v>
      </c>
      <c r="C69" s="108"/>
      <c r="D69" s="53"/>
    </row>
    <row r="70" spans="1:4" ht="15.75" x14ac:dyDescent="0.25">
      <c r="A70" s="36" t="s">
        <v>197</v>
      </c>
      <c r="B70" s="9">
        <f>B72-B$39</f>
        <v>0</v>
      </c>
      <c r="C70" s="108"/>
      <c r="D70" s="53"/>
    </row>
    <row r="71" spans="1:4" ht="15.75" x14ac:dyDescent="0.25">
      <c r="A71" s="3" t="s">
        <v>142</v>
      </c>
      <c r="B71" s="11">
        <f>B$40+B72*B25-B24/2/1000</f>
        <v>27652.5</v>
      </c>
      <c r="C71" s="108"/>
      <c r="D71" s="53"/>
    </row>
    <row r="72" spans="1:4" ht="15.75" x14ac:dyDescent="0.25">
      <c r="A72" s="36" t="s">
        <v>145</v>
      </c>
      <c r="B72" s="110">
        <v>0</v>
      </c>
      <c r="C72" s="111" t="s">
        <v>147</v>
      </c>
      <c r="D72" s="53"/>
    </row>
    <row r="73" spans="1:4" ht="15.75" x14ac:dyDescent="0.25">
      <c r="A73" s="51" t="s">
        <v>16</v>
      </c>
      <c r="B73" s="52" t="str">
        <f>IF(ABS((B61-B71)-(B27-B29/1000))&lt;0.000001,"ok","ERROR!!!")</f>
        <v>ok</v>
      </c>
      <c r="C73" s="108"/>
      <c r="D73" s="53"/>
    </row>
    <row r="74" spans="1:4" ht="15.75" thickBot="1" x14ac:dyDescent="0.3"/>
    <row r="75" spans="1:4" ht="16.5" thickBot="1" x14ac:dyDescent="0.3">
      <c r="A75" s="69" t="s">
        <v>8</v>
      </c>
      <c r="B75" s="70"/>
      <c r="C75" s="71"/>
    </row>
    <row r="76" spans="1:4" x14ac:dyDescent="0.25">
      <c r="A76" s="75" t="s">
        <v>111</v>
      </c>
      <c r="B76" s="76">
        <v>240</v>
      </c>
      <c r="C76" s="66" t="s">
        <v>44</v>
      </c>
    </row>
    <row r="77" spans="1:4" x14ac:dyDescent="0.25">
      <c r="A77" s="3" t="s">
        <v>112</v>
      </c>
      <c r="B77" s="49">
        <v>20</v>
      </c>
      <c r="C77" s="5" t="s">
        <v>36</v>
      </c>
    </row>
    <row r="78" spans="1:4" x14ac:dyDescent="0.25">
      <c r="A78" s="3" t="s">
        <v>116</v>
      </c>
      <c r="B78" s="49">
        <f>B4*B77</f>
        <v>240</v>
      </c>
      <c r="C78" s="5" t="s">
        <v>36</v>
      </c>
    </row>
    <row r="79" spans="1:4" x14ac:dyDescent="0.25">
      <c r="A79" s="3" t="s">
        <v>113</v>
      </c>
      <c r="B79" s="3">
        <f>B78*B76/1000</f>
        <v>57.6</v>
      </c>
      <c r="C79" s="3" t="s">
        <v>5</v>
      </c>
    </row>
    <row r="80" spans="1:4" ht="30" x14ac:dyDescent="0.25">
      <c r="A80" s="3" t="s">
        <v>117</v>
      </c>
      <c r="B80" s="3">
        <f>$B$4*B77/2</f>
        <v>120</v>
      </c>
      <c r="C80" s="3" t="s">
        <v>6</v>
      </c>
      <c r="D80" s="30"/>
    </row>
    <row r="81" spans="1:5" ht="30" x14ac:dyDescent="0.25">
      <c r="A81" s="3" t="s">
        <v>115</v>
      </c>
      <c r="B81" s="11">
        <f>(B80*B76-B76/2)/1000</f>
        <v>28.68</v>
      </c>
      <c r="C81" s="3" t="s">
        <v>5</v>
      </c>
    </row>
    <row r="82" spans="1:5" ht="30" x14ac:dyDescent="0.25">
      <c r="A82" s="3" t="s">
        <v>114</v>
      </c>
      <c r="B82" s="11">
        <f>(B80*B76+B76/2)/1000</f>
        <v>28.92</v>
      </c>
      <c r="C82" s="3" t="s">
        <v>5</v>
      </c>
    </row>
    <row r="83" spans="1:5" x14ac:dyDescent="0.25">
      <c r="A83" s="51" t="s">
        <v>16</v>
      </c>
      <c r="B83" s="52" t="str">
        <f>IF(ABS(B79-B82-B81)&lt;0.00000001,"ok","ERROR!!!!!")</f>
        <v>ok</v>
      </c>
      <c r="C83" s="3"/>
    </row>
    <row r="84" spans="1:5" ht="15.75" thickBot="1" x14ac:dyDescent="0.3"/>
    <row r="85" spans="1:5" ht="16.5" thickBot="1" x14ac:dyDescent="0.3">
      <c r="A85" s="69" t="s">
        <v>18</v>
      </c>
      <c r="B85" s="70"/>
      <c r="C85" s="71"/>
    </row>
    <row r="86" spans="1:5" x14ac:dyDescent="0.25">
      <c r="A86" s="66" t="s">
        <v>124</v>
      </c>
      <c r="B86" s="74">
        <v>22556</v>
      </c>
      <c r="C86" s="66" t="s">
        <v>45</v>
      </c>
    </row>
    <row r="87" spans="1:5" x14ac:dyDescent="0.25">
      <c r="A87" s="3" t="s">
        <v>125</v>
      </c>
      <c r="B87" s="9">
        <v>22390</v>
      </c>
      <c r="C87" s="3" t="s">
        <v>45</v>
      </c>
    </row>
    <row r="88" spans="1:5" ht="15.75" thickBot="1" x14ac:dyDescent="0.3">
      <c r="A88" s="21" t="s">
        <v>126</v>
      </c>
      <c r="B88" s="21">
        <v>2</v>
      </c>
      <c r="C88" s="21" t="s">
        <v>45</v>
      </c>
    </row>
    <row r="89" spans="1:5" x14ac:dyDescent="0.25">
      <c r="A89" s="47" t="s">
        <v>127</v>
      </c>
      <c r="B89" s="48">
        <v>22456</v>
      </c>
      <c r="C89" s="34" t="s">
        <v>32</v>
      </c>
    </row>
    <row r="90" spans="1:5" ht="30" x14ac:dyDescent="0.25">
      <c r="A90" s="22" t="s">
        <v>118</v>
      </c>
      <c r="B90" s="11">
        <v>27706.080000000002</v>
      </c>
      <c r="C90" s="23" t="s">
        <v>19</v>
      </c>
    </row>
    <row r="91" spans="1:5" x14ac:dyDescent="0.25">
      <c r="A91" s="22" t="s">
        <v>119</v>
      </c>
      <c r="B91" s="11">
        <f>B90+B$81</f>
        <v>27734.760000000002</v>
      </c>
      <c r="C91" s="23" t="s">
        <v>5</v>
      </c>
      <c r="D91" s="53"/>
      <c r="E91" s="53"/>
    </row>
    <row r="92" spans="1:5" x14ac:dyDescent="0.25">
      <c r="A92" s="22" t="s">
        <v>120</v>
      </c>
      <c r="B92" s="11">
        <f>B90-B$82</f>
        <v>27677.160000000003</v>
      </c>
      <c r="C92" s="23" t="s">
        <v>5</v>
      </c>
      <c r="E92" s="17"/>
    </row>
    <row r="93" spans="1:5" x14ac:dyDescent="0.25">
      <c r="A93" s="22" t="s">
        <v>121</v>
      </c>
      <c r="B93" s="11">
        <f>B92+B76/2/1000</f>
        <v>27677.280000000002</v>
      </c>
      <c r="C93" s="23" t="s">
        <v>5</v>
      </c>
    </row>
    <row r="94" spans="1:5" x14ac:dyDescent="0.25">
      <c r="A94" s="57" t="s">
        <v>16</v>
      </c>
      <c r="B94" s="52" t="str">
        <f>IF(ABS((B91-B92)-B$79)&lt;0.00000001,"ok","ERROR!!!!!")</f>
        <v>ok</v>
      </c>
      <c r="C94" s="23"/>
      <c r="E94" s="13"/>
    </row>
    <row r="95" spans="1:5" ht="45" x14ac:dyDescent="0.25">
      <c r="A95" s="22" t="s">
        <v>184</v>
      </c>
      <c r="B95" s="16" t="str">
        <f>IF(B91&lt;B$45,"Yes","NO!!!")</f>
        <v>Yes</v>
      </c>
      <c r="C95" s="247" t="s">
        <v>186</v>
      </c>
      <c r="D95" s="245" t="s">
        <v>148</v>
      </c>
    </row>
    <row r="96" spans="1:5" ht="45.75" thickBot="1" x14ac:dyDescent="0.3">
      <c r="A96" s="59" t="s">
        <v>185</v>
      </c>
      <c r="B96" s="16" t="str">
        <f>IF(B92&gt;B$55,"Yes","NO!!!")</f>
        <v>Yes</v>
      </c>
      <c r="C96" s="247" t="s">
        <v>186</v>
      </c>
      <c r="D96" s="245" t="s">
        <v>148</v>
      </c>
    </row>
    <row r="97" spans="1:4" x14ac:dyDescent="0.25">
      <c r="A97" s="113" t="s">
        <v>123</v>
      </c>
      <c r="B97" s="114">
        <v>22454</v>
      </c>
      <c r="C97" s="115" t="s">
        <v>26</v>
      </c>
    </row>
    <row r="98" spans="1:4" ht="30" x14ac:dyDescent="0.25">
      <c r="A98" s="116" t="s">
        <v>122</v>
      </c>
      <c r="B98" s="117">
        <v>27671.52</v>
      </c>
      <c r="C98" s="118" t="s">
        <v>19</v>
      </c>
    </row>
    <row r="99" spans="1:4" x14ac:dyDescent="0.25">
      <c r="A99" s="116" t="s">
        <v>119</v>
      </c>
      <c r="B99" s="117">
        <f>B98+B$81</f>
        <v>27700.2</v>
      </c>
      <c r="C99" s="118" t="s">
        <v>5</v>
      </c>
    </row>
    <row r="100" spans="1:4" x14ac:dyDescent="0.25">
      <c r="A100" s="116" t="s">
        <v>120</v>
      </c>
      <c r="B100" s="117">
        <f>B98-B$82</f>
        <v>27642.600000000002</v>
      </c>
      <c r="C100" s="118" t="s">
        <v>5</v>
      </c>
    </row>
    <row r="101" spans="1:4" x14ac:dyDescent="0.25">
      <c r="A101" s="116" t="s">
        <v>121</v>
      </c>
      <c r="B101" s="117">
        <f>B100+B84/2/1000</f>
        <v>27642.600000000002</v>
      </c>
      <c r="C101" s="118" t="s">
        <v>5</v>
      </c>
    </row>
    <row r="102" spans="1:4" x14ac:dyDescent="0.25">
      <c r="A102" s="57" t="s">
        <v>16</v>
      </c>
      <c r="B102" s="52" t="str">
        <f>IF(ABS((B99-B100)-B$79)&lt;0.00000001,"ok","ERROR!!!!!")</f>
        <v>ok</v>
      </c>
      <c r="C102" s="23"/>
    </row>
    <row r="103" spans="1:4" ht="45" x14ac:dyDescent="0.25">
      <c r="A103" s="116" t="s">
        <v>184</v>
      </c>
      <c r="B103" s="119" t="str">
        <f>IF(B99&lt;B$45,"Yes","NO!!!")</f>
        <v>Yes</v>
      </c>
      <c r="C103" s="248" t="s">
        <v>186</v>
      </c>
      <c r="D103" s="245" t="s">
        <v>148</v>
      </c>
    </row>
    <row r="104" spans="1:4" ht="45.75" thickBot="1" x14ac:dyDescent="0.3">
      <c r="A104" s="120" t="s">
        <v>185</v>
      </c>
      <c r="B104" s="112" t="str">
        <f>IF(B100&gt;B$55,"Yes","NO!!!")</f>
        <v>NO!!!</v>
      </c>
      <c r="C104" s="249" t="s">
        <v>186</v>
      </c>
      <c r="D104" s="245" t="s">
        <v>148</v>
      </c>
    </row>
    <row r="105" spans="1:4" x14ac:dyDescent="0.25">
      <c r="A105" s="113" t="s">
        <v>128</v>
      </c>
      <c r="B105" s="114">
        <v>22458</v>
      </c>
      <c r="C105" s="115" t="s">
        <v>26</v>
      </c>
    </row>
    <row r="106" spans="1:4" ht="30" x14ac:dyDescent="0.25">
      <c r="A106" s="116" t="s">
        <v>122</v>
      </c>
      <c r="B106" s="117">
        <v>27740.639999999999</v>
      </c>
      <c r="C106" s="118" t="s">
        <v>19</v>
      </c>
    </row>
    <row r="107" spans="1:4" x14ac:dyDescent="0.25">
      <c r="A107" s="116" t="s">
        <v>119</v>
      </c>
      <c r="B107" s="117">
        <f>B106+B$81</f>
        <v>27769.32</v>
      </c>
      <c r="C107" s="118" t="s">
        <v>5</v>
      </c>
    </row>
    <row r="108" spans="1:4" x14ac:dyDescent="0.25">
      <c r="A108" s="116" t="s">
        <v>120</v>
      </c>
      <c r="B108" s="117">
        <f>B106-B$82</f>
        <v>27711.72</v>
      </c>
      <c r="C108" s="118" t="s">
        <v>5</v>
      </c>
    </row>
    <row r="109" spans="1:4" x14ac:dyDescent="0.25">
      <c r="A109" s="116" t="s">
        <v>121</v>
      </c>
      <c r="B109" s="117">
        <f>B108+B92/2/1000</f>
        <v>27725.558580000001</v>
      </c>
      <c r="C109" s="118" t="s">
        <v>5</v>
      </c>
    </row>
    <row r="110" spans="1:4" x14ac:dyDescent="0.25">
      <c r="A110" s="57" t="s">
        <v>16</v>
      </c>
      <c r="B110" s="52" t="str">
        <f>IF(ABS((B107-B108)-B$79)&lt;0.00000001,"ok","ERROR!!!!!")</f>
        <v>ok</v>
      </c>
      <c r="C110" s="23"/>
    </row>
    <row r="111" spans="1:4" ht="45" x14ac:dyDescent="0.25">
      <c r="A111" s="116" t="s">
        <v>184</v>
      </c>
      <c r="B111" s="112" t="str">
        <f>IF(B107&lt;B$45,"Yes","NO!!!")</f>
        <v>NO!!!</v>
      </c>
      <c r="C111" s="248" t="s">
        <v>186</v>
      </c>
      <c r="D111" s="245" t="s">
        <v>148</v>
      </c>
    </row>
    <row r="112" spans="1:4" ht="45.75" thickBot="1" x14ac:dyDescent="0.3">
      <c r="A112" s="121" t="s">
        <v>185</v>
      </c>
      <c r="B112" s="122" t="str">
        <f>IF(B108&gt;B$55,"Yes","NO!!!")</f>
        <v>Yes</v>
      </c>
      <c r="C112" s="250" t="s">
        <v>186</v>
      </c>
      <c r="D112" s="245" t="s">
        <v>148</v>
      </c>
    </row>
    <row r="113" spans="1:7" ht="15.75" thickBot="1" x14ac:dyDescent="0.3">
      <c r="B113" s="128"/>
      <c r="D113" s="53"/>
    </row>
    <row r="114" spans="1:7" ht="16.5" thickBot="1" x14ac:dyDescent="0.3">
      <c r="A114" s="78" t="s">
        <v>176</v>
      </c>
      <c r="B114" s="64"/>
      <c r="C114" s="65"/>
      <c r="D114" s="53"/>
    </row>
    <row r="115" spans="1:7" x14ac:dyDescent="0.25">
      <c r="A115" s="3" t="s">
        <v>173</v>
      </c>
      <c r="B115" s="20">
        <f>B$90+(127/2+1)*B$76/1000</f>
        <v>27721.56</v>
      </c>
      <c r="C115" s="3"/>
    </row>
    <row r="116" spans="1:7" x14ac:dyDescent="0.25">
      <c r="A116" s="3" t="s">
        <v>174</v>
      </c>
      <c r="B116" s="20">
        <f>B$90-(127/2-1)*B$76/1000</f>
        <v>27691.08</v>
      </c>
      <c r="C116" s="3"/>
    </row>
    <row r="117" spans="1:7" x14ac:dyDescent="0.25">
      <c r="A117" s="3" t="s">
        <v>175</v>
      </c>
      <c r="B117" s="20">
        <f>B115-B116</f>
        <v>30.479999999999563</v>
      </c>
      <c r="C117" s="3"/>
    </row>
    <row r="118" spans="1:7" x14ac:dyDescent="0.25">
      <c r="A118" s="57" t="s">
        <v>16</v>
      </c>
      <c r="B118" s="52" t="str">
        <f>IF(ABS(B117-127*B$76/1000)&lt;0.00000001,"ok","ERROR!!!!!")</f>
        <v>ok</v>
      </c>
    </row>
    <row r="119" spans="1:7" ht="15.75" thickBot="1" x14ac:dyDescent="0.3">
      <c r="B119" s="126"/>
    </row>
    <row r="120" spans="1:7" ht="16.5" thickBot="1" x14ac:dyDescent="0.3">
      <c r="A120" s="78" t="str">
        <f>"Is the SSB aligned to the "&amp;B76&amp; " kHz CRB grid?"</f>
        <v>Is the SSB aligned to the 240 kHz CRB grid?</v>
      </c>
      <c r="B120" s="64"/>
      <c r="C120" s="65"/>
      <c r="D120" s="53"/>
    </row>
    <row r="121" spans="1:7" x14ac:dyDescent="0.25">
      <c r="A121" s="3" t="s">
        <v>166</v>
      </c>
      <c r="B121" s="9">
        <f>B76</f>
        <v>240</v>
      </c>
      <c r="C121" s="18"/>
      <c r="D121" s="53"/>
    </row>
    <row r="122" spans="1:7" x14ac:dyDescent="0.25">
      <c r="A122" s="3" t="s">
        <v>167</v>
      </c>
      <c r="B122" s="9">
        <f>$B$4*B121</f>
        <v>2880</v>
      </c>
      <c r="C122" s="18"/>
      <c r="D122" s="53"/>
    </row>
    <row r="123" spans="1:7" x14ac:dyDescent="0.25">
      <c r="A123" s="22" t="s">
        <v>121</v>
      </c>
      <c r="B123" s="11">
        <f>B93</f>
        <v>27677.280000000002</v>
      </c>
      <c r="C123" s="18"/>
      <c r="D123" s="53"/>
    </row>
    <row r="124" spans="1:7" x14ac:dyDescent="0.25">
      <c r="A124" s="123" t="s">
        <v>165</v>
      </c>
      <c r="B124" s="20">
        <f>B40</f>
        <v>27652.560000000001</v>
      </c>
      <c r="C124" s="18"/>
      <c r="D124" s="53"/>
    </row>
    <row r="125" spans="1:7" ht="30" x14ac:dyDescent="0.25">
      <c r="A125" s="124" t="s">
        <v>168</v>
      </c>
      <c r="B125" s="11">
        <f>B123-B124</f>
        <v>24.720000000001164</v>
      </c>
      <c r="C125" s="18"/>
      <c r="D125" s="53"/>
    </row>
    <row r="126" spans="1:7" ht="30" x14ac:dyDescent="0.25">
      <c r="A126" s="124" t="s">
        <v>169</v>
      </c>
      <c r="B126" s="123">
        <f>B125/(B122/1000)</f>
        <v>8.5833333333337372</v>
      </c>
      <c r="C126" s="18" t="s">
        <v>170</v>
      </c>
      <c r="D126" s="53"/>
    </row>
    <row r="127" spans="1:7" x14ac:dyDescent="0.25">
      <c r="A127" s="3" t="str">
        <f>A120</f>
        <v>Is the SSB aligned to the 240 kHz CRB grid?</v>
      </c>
      <c r="B127" s="125" t="str">
        <f>IF(ABS(INT(B126)-B126)&lt;0.000001,"SI","NO")</f>
        <v>NO</v>
      </c>
      <c r="C127" s="5"/>
      <c r="D127" s="53"/>
    </row>
    <row r="128" spans="1:7" ht="15.75" thickBot="1" x14ac:dyDescent="0.3">
      <c r="E128" s="30"/>
      <c r="G128" s="30"/>
    </row>
    <row r="129" spans="1:4" ht="16.5" thickBot="1" x14ac:dyDescent="0.3">
      <c r="A129" s="78" t="s">
        <v>161</v>
      </c>
      <c r="B129" s="64"/>
      <c r="C129" s="65"/>
    </row>
    <row r="130" spans="1:4" x14ac:dyDescent="0.25">
      <c r="A130" s="44" t="s">
        <v>152</v>
      </c>
      <c r="B130" s="45">
        <v>120</v>
      </c>
      <c r="C130" s="18" t="s">
        <v>162</v>
      </c>
    </row>
    <row r="131" spans="1:4" ht="30" x14ac:dyDescent="0.25">
      <c r="A131" s="3" t="s">
        <v>153</v>
      </c>
      <c r="B131" s="9">
        <f>12*B130</f>
        <v>1440</v>
      </c>
      <c r="C131" s="18" t="s">
        <v>37</v>
      </c>
    </row>
    <row r="132" spans="1:4" ht="45" x14ac:dyDescent="0.25">
      <c r="A132" s="3" t="s">
        <v>149</v>
      </c>
      <c r="B132" s="49">
        <v>60</v>
      </c>
      <c r="C132" s="5" t="s">
        <v>36</v>
      </c>
    </row>
    <row r="133" spans="1:4" ht="30" x14ac:dyDescent="0.25">
      <c r="A133" s="3" t="s">
        <v>156</v>
      </c>
      <c r="B133" s="31">
        <f>$B$4*$B$132</f>
        <v>720</v>
      </c>
      <c r="C133" s="40" t="s">
        <v>38</v>
      </c>
    </row>
    <row r="134" spans="1:4" ht="30.75" customHeight="1" x14ac:dyDescent="0.25">
      <c r="A134" s="3" t="s">
        <v>39</v>
      </c>
      <c r="B134" s="32">
        <f>INT((B93-(B40-B130/2/1000))/(B131/1000))</f>
        <v>17</v>
      </c>
      <c r="C134" s="3" t="s">
        <v>29</v>
      </c>
    </row>
    <row r="135" spans="1:4" ht="75" x14ac:dyDescent="0.25">
      <c r="A135" s="3" t="s">
        <v>160</v>
      </c>
      <c r="B135" s="11">
        <f>B40-B130/2/1000+B134*B131/1000+B130/2/1000</f>
        <v>27677.040000000001</v>
      </c>
      <c r="C135" s="3" t="s">
        <v>5</v>
      </c>
    </row>
    <row r="136" spans="1:4" x14ac:dyDescent="0.25">
      <c r="A136" s="3" t="s">
        <v>154</v>
      </c>
      <c r="B136" s="11">
        <f>B135-B40</f>
        <v>24.479999999999563</v>
      </c>
      <c r="C136" s="3" t="s">
        <v>5</v>
      </c>
    </row>
    <row r="137" spans="1:4" ht="56.45" customHeight="1" x14ac:dyDescent="0.25">
      <c r="A137" s="3" t="s">
        <v>155</v>
      </c>
      <c r="B137" s="41">
        <f>B136/(B133/1000)</f>
        <v>33.999999999999396</v>
      </c>
      <c r="C137" s="3" t="s">
        <v>5</v>
      </c>
      <c r="D137" s="33"/>
    </row>
    <row r="138" spans="1:4" x14ac:dyDescent="0.25">
      <c r="A138" s="3" t="s">
        <v>150</v>
      </c>
      <c r="B138" s="41">
        <f>(B$93-B135)*1000</f>
        <v>240.00000000160071</v>
      </c>
      <c r="C138" s="3" t="s">
        <v>5</v>
      </c>
      <c r="D138" s="33"/>
    </row>
    <row r="139" spans="1:4" ht="30" x14ac:dyDescent="0.25">
      <c r="A139" s="3" t="s">
        <v>163</v>
      </c>
      <c r="B139" s="41">
        <f>B138/B130</f>
        <v>2.0000000000133391</v>
      </c>
      <c r="C139" s="3" t="s">
        <v>5</v>
      </c>
      <c r="D139" s="33"/>
    </row>
    <row r="140" spans="1:4" x14ac:dyDescent="0.25">
      <c r="A140" s="12" t="s">
        <v>154</v>
      </c>
      <c r="B140" s="42">
        <f>INT((B93-(B40-B132/2/1000))/(12*B132/1000))*B16/B133</f>
        <v>34</v>
      </c>
      <c r="C140" s="12" t="s">
        <v>164</v>
      </c>
      <c r="D140" s="33"/>
    </row>
    <row r="141" spans="1:4" x14ac:dyDescent="0.25">
      <c r="A141" s="51" t="s">
        <v>16</v>
      </c>
      <c r="B141" s="58" t="str">
        <f>IF(ABS(B137-B140)&lt;=0.0000001,"ok","ERROR!!!!")</f>
        <v>ok</v>
      </c>
      <c r="C141" s="3"/>
    </row>
    <row r="142" spans="1:4" x14ac:dyDescent="0.25">
      <c r="A142" s="12" t="s">
        <v>151</v>
      </c>
      <c r="B142" s="42">
        <f>(B93-(B40+B137*12*B132/1000))/(B130/1000)</f>
        <v>2.0000000000133396</v>
      </c>
      <c r="C142" s="12" t="s">
        <v>164</v>
      </c>
      <c r="D142" s="33"/>
    </row>
    <row r="143" spans="1:4" x14ac:dyDescent="0.25">
      <c r="A143" s="51" t="s">
        <v>16</v>
      </c>
      <c r="B143" s="58" t="str">
        <f>IF(ABS(B139-B142)&lt;=0.0000001,"ok","ERROR!!!!")</f>
        <v>ok</v>
      </c>
      <c r="C143" s="3"/>
    </row>
    <row r="144" spans="1:4" ht="15.75" thickBot="1" x14ac:dyDescent="0.3"/>
    <row r="145" spans="1:4" ht="16.5" thickBot="1" x14ac:dyDescent="0.3">
      <c r="A145" s="69" t="s">
        <v>9</v>
      </c>
      <c r="B145" s="64"/>
      <c r="C145" s="65"/>
    </row>
    <row r="146" spans="1:4" ht="30" x14ac:dyDescent="0.25">
      <c r="A146" s="66" t="s">
        <v>129</v>
      </c>
      <c r="B146" s="67">
        <f>B130</f>
        <v>120</v>
      </c>
      <c r="C146" s="68" t="s">
        <v>100</v>
      </c>
    </row>
    <row r="147" spans="1:4" x14ac:dyDescent="0.25">
      <c r="A147" s="3" t="s">
        <v>130</v>
      </c>
      <c r="B147" s="19">
        <f>B$4*B146</f>
        <v>1440</v>
      </c>
      <c r="C147" s="18" t="s">
        <v>5</v>
      </c>
    </row>
    <row r="148" spans="1:4" x14ac:dyDescent="0.25">
      <c r="A148" s="3" t="s">
        <v>23</v>
      </c>
      <c r="B148" s="19" t="s">
        <v>24</v>
      </c>
      <c r="C148" s="18" t="s">
        <v>177</v>
      </c>
    </row>
    <row r="149" spans="1:4" ht="30" x14ac:dyDescent="0.25">
      <c r="A149" s="3" t="s">
        <v>22</v>
      </c>
      <c r="B149" s="6">
        <v>1</v>
      </c>
      <c r="C149" s="18" t="s">
        <v>46</v>
      </c>
    </row>
    <row r="150" spans="1:4" ht="30" x14ac:dyDescent="0.25">
      <c r="A150" s="3" t="s">
        <v>131</v>
      </c>
      <c r="B150" s="6">
        <v>48</v>
      </c>
      <c r="C150" s="18" t="s">
        <v>46</v>
      </c>
    </row>
    <row r="151" spans="1:4" x14ac:dyDescent="0.25">
      <c r="A151" s="3" t="s">
        <v>132</v>
      </c>
      <c r="B151" s="20">
        <f>B150*B147/1000</f>
        <v>69.12</v>
      </c>
      <c r="C151" s="18" t="s">
        <v>5</v>
      </c>
    </row>
    <row r="152" spans="1:4" ht="30" x14ac:dyDescent="0.25">
      <c r="A152" s="25" t="s">
        <v>178</v>
      </c>
      <c r="B152" s="26">
        <v>1</v>
      </c>
      <c r="C152" s="27" t="s">
        <v>46</v>
      </c>
    </row>
    <row r="153" spans="1:4" ht="30" x14ac:dyDescent="0.25">
      <c r="A153" s="25" t="s">
        <v>25</v>
      </c>
      <c r="B153" s="26">
        <v>8</v>
      </c>
      <c r="C153" s="27" t="s">
        <v>46</v>
      </c>
    </row>
    <row r="154" spans="1:4" ht="30" x14ac:dyDescent="0.25">
      <c r="A154" s="25" t="s">
        <v>180</v>
      </c>
      <c r="B154" s="127" t="s">
        <v>181</v>
      </c>
      <c r="C154" s="27" t="s">
        <v>179</v>
      </c>
    </row>
    <row r="155" spans="1:4" x14ac:dyDescent="0.25">
      <c r="A155" s="25" t="s">
        <v>183</v>
      </c>
      <c r="B155" s="29">
        <f>B93-B139*B146/1000</f>
        <v>27677.040000000001</v>
      </c>
      <c r="C155" s="27"/>
    </row>
    <row r="156" spans="1:4" x14ac:dyDescent="0.25">
      <c r="A156" s="25" t="s">
        <v>182</v>
      </c>
      <c r="B156" s="29">
        <f>B155-B153*B147/1000</f>
        <v>27665.52</v>
      </c>
      <c r="C156" s="27"/>
    </row>
    <row r="157" spans="1:4" x14ac:dyDescent="0.25">
      <c r="A157" s="25" t="s">
        <v>133</v>
      </c>
      <c r="B157" s="29">
        <f>B158+B$151</f>
        <v>27734.579999999998</v>
      </c>
      <c r="C157" s="25" t="s">
        <v>5</v>
      </c>
      <c r="D157" s="24"/>
    </row>
    <row r="158" spans="1:4" x14ac:dyDescent="0.25">
      <c r="A158" s="25" t="s">
        <v>134</v>
      </c>
      <c r="B158" s="29">
        <f>B156-0.5*B146/1000</f>
        <v>27665.46</v>
      </c>
      <c r="C158" s="25" t="s">
        <v>5</v>
      </c>
      <c r="D158" s="24"/>
    </row>
    <row r="159" spans="1:4" x14ac:dyDescent="0.25">
      <c r="A159" s="51" t="s">
        <v>16</v>
      </c>
      <c r="B159" s="52" t="str">
        <f>IF(ABS((B157-B158)-B$151)&lt;0.00000001,"ok","ERROR!!!!!")</f>
        <v>ok</v>
      </c>
      <c r="C159" s="3"/>
      <c r="D159" s="24"/>
    </row>
    <row r="160" spans="1:4" ht="30" x14ac:dyDescent="0.25">
      <c r="A160" s="25" t="s">
        <v>187</v>
      </c>
      <c r="B160" s="28" t="e">
        <f>IF(B157&lt;#REF!,"Yes","NO!!!")</f>
        <v>#REF!</v>
      </c>
      <c r="C160" s="25" t="s">
        <v>186</v>
      </c>
    </row>
    <row r="161" spans="1:4" ht="30" x14ac:dyDescent="0.25">
      <c r="A161" s="25" t="s">
        <v>188</v>
      </c>
      <c r="B161" s="28" t="e">
        <f>IF(B157&gt;#REF!,"NO!!!","Yes")</f>
        <v>#REF!</v>
      </c>
      <c r="C161" s="25" t="s">
        <v>186</v>
      </c>
      <c r="D161" s="24"/>
    </row>
    <row r="163" spans="1:4" ht="15.75" thickBot="1" x14ac:dyDescent="0.3"/>
    <row r="164" spans="1:4" ht="16.5" thickBot="1" x14ac:dyDescent="0.3">
      <c r="A164" s="82" t="s">
        <v>27</v>
      </c>
      <c r="B164" s="72"/>
      <c r="C164" s="73"/>
    </row>
    <row r="165" spans="1:4" ht="45" x14ac:dyDescent="0.25">
      <c r="A165" s="62" t="s">
        <v>34</v>
      </c>
      <c r="B165" s="63" t="s">
        <v>70</v>
      </c>
      <c r="C165" s="63" t="s">
        <v>33</v>
      </c>
      <c r="D165" s="7" t="s">
        <v>82</v>
      </c>
    </row>
    <row r="166" spans="1:4" x14ac:dyDescent="0.25">
      <c r="A166" s="36" t="s">
        <v>71</v>
      </c>
      <c r="B166" s="37">
        <f>B170+B12/2</f>
        <v>27750.080000000002</v>
      </c>
      <c r="C166" s="38" t="e">
        <f>(B166-#REF!)/(B$16/1000)</f>
        <v>#REF!</v>
      </c>
      <c r="D166" s="86" t="s">
        <v>83</v>
      </c>
    </row>
    <row r="167" spans="1:4" x14ac:dyDescent="0.25">
      <c r="A167" s="3" t="s">
        <v>189</v>
      </c>
      <c r="B167" s="37">
        <f>B166-B19</f>
        <v>27747.63</v>
      </c>
      <c r="C167" s="38" t="e">
        <f>(B167-#REF!)/(B$16/1000)</f>
        <v>#REF!</v>
      </c>
      <c r="D167" s="56" t="e">
        <f t="shared" ref="D167:D173" si="0">(C167-INT(C167))*12</f>
        <v>#REF!</v>
      </c>
    </row>
    <row r="168" spans="1:4" x14ac:dyDescent="0.25">
      <c r="A168" s="36" t="s">
        <v>21</v>
      </c>
      <c r="B168" s="37">
        <f>B91</f>
        <v>27734.760000000002</v>
      </c>
      <c r="C168" s="38" t="e">
        <f>(B168-#REF!)/(B$16/1000)</f>
        <v>#REF!</v>
      </c>
      <c r="D168" s="56" t="e">
        <f t="shared" si="0"/>
        <v>#REF!</v>
      </c>
    </row>
    <row r="169" spans="1:4" x14ac:dyDescent="0.25">
      <c r="A169" s="36" t="s">
        <v>30</v>
      </c>
      <c r="B169" s="11">
        <f>B177+B151</f>
        <v>27734.579999999998</v>
      </c>
      <c r="C169" s="38" t="e">
        <f>(B169-#REF!)/(B$16/1000)</f>
        <v>#REF!</v>
      </c>
      <c r="D169" s="56" t="e">
        <f t="shared" si="0"/>
        <v>#REF!</v>
      </c>
    </row>
    <row r="170" spans="1:4" x14ac:dyDescent="0.25">
      <c r="A170" s="36" t="s">
        <v>68</v>
      </c>
      <c r="B170" s="11">
        <f>B37</f>
        <v>27700.080000000002</v>
      </c>
      <c r="C170" s="38" t="e">
        <f>(B170-#REF!)/(B$16/1000)</f>
        <v>#REF!</v>
      </c>
      <c r="D170" s="56" t="e">
        <f t="shared" si="0"/>
        <v>#REF!</v>
      </c>
    </row>
    <row r="171" spans="1:4" x14ac:dyDescent="0.25">
      <c r="A171" s="36" t="s">
        <v>31</v>
      </c>
      <c r="B171" s="37">
        <f>B90</f>
        <v>27706.080000000002</v>
      </c>
      <c r="C171" s="38" t="e">
        <f>(B171-#REF!)/(B$16/1000)</f>
        <v>#REF!</v>
      </c>
      <c r="D171" s="56" t="e">
        <f t="shared" si="0"/>
        <v>#REF!</v>
      </c>
    </row>
    <row r="172" spans="1:4" x14ac:dyDescent="0.25">
      <c r="A172" s="36" t="s">
        <v>77</v>
      </c>
      <c r="B172" s="37">
        <f>B93</f>
        <v>27677.280000000002</v>
      </c>
      <c r="C172" s="38" t="e">
        <f>(B172-#REF!)/(B$16/1000)</f>
        <v>#REF!</v>
      </c>
      <c r="D172" s="56" t="e">
        <f t="shared" si="0"/>
        <v>#REF!</v>
      </c>
    </row>
    <row r="173" spans="1:4" x14ac:dyDescent="0.25">
      <c r="A173" s="36" t="s">
        <v>20</v>
      </c>
      <c r="B173" s="37">
        <f>B92</f>
        <v>27677.160000000003</v>
      </c>
      <c r="C173" s="38" t="e">
        <f>(B173-#REF!)/(B$16/1000)</f>
        <v>#REF!</v>
      </c>
      <c r="D173" s="56" t="e">
        <f t="shared" si="0"/>
        <v>#REF!</v>
      </c>
    </row>
    <row r="174" spans="1:4" ht="60" x14ac:dyDescent="0.25">
      <c r="A174" s="3" t="s">
        <v>79</v>
      </c>
      <c r="B174" s="37">
        <f>B178+B136</f>
        <v>27677.040000000001</v>
      </c>
      <c r="C174" s="38" t="e">
        <f>(B174-#REF!)/(B$16/1000)</f>
        <v>#REF!</v>
      </c>
      <c r="D174" s="56" t="e">
        <f>(C174-INT(C174))*12</f>
        <v>#REF!</v>
      </c>
    </row>
    <row r="175" spans="1:4" ht="45" x14ac:dyDescent="0.25">
      <c r="A175" s="3" t="s">
        <v>80</v>
      </c>
      <c r="B175" s="37">
        <f>B174-B15/1000/2</f>
        <v>27677.010000000002</v>
      </c>
      <c r="C175" s="61" t="e">
        <f>(B175-#REF!)/(B$16/1000)</f>
        <v>#REF!</v>
      </c>
      <c r="D175" s="56" t="e">
        <f t="shared" ref="D175:D179" si="1">(C175-INT(C175))*12</f>
        <v>#REF!</v>
      </c>
    </row>
    <row r="176" spans="1:4" x14ac:dyDescent="0.25">
      <c r="A176" s="51" t="s">
        <v>16</v>
      </c>
      <c r="B176" s="52" t="e">
        <f>IF(ROUND(C175,9)=INT(ROUND(C175,9)),"ok","ERROR!!!!!")</f>
        <v>#REF!</v>
      </c>
      <c r="C176" s="38" t="s">
        <v>191</v>
      </c>
      <c r="D176" s="56"/>
    </row>
    <row r="177" spans="1:4" x14ac:dyDescent="0.25">
      <c r="A177" s="36" t="s">
        <v>28</v>
      </c>
      <c r="B177" s="37">
        <f>B158</f>
        <v>27665.46</v>
      </c>
      <c r="C177" s="38" t="e">
        <f>(B177-#REF!)/(B$16/1000)</f>
        <v>#REF!</v>
      </c>
      <c r="D177" s="56" t="e">
        <f t="shared" si="1"/>
        <v>#REF!</v>
      </c>
    </row>
    <row r="178" spans="1:4" x14ac:dyDescent="0.25">
      <c r="A178" s="3" t="s">
        <v>69</v>
      </c>
      <c r="B178" s="11">
        <f>B40</f>
        <v>27652.560000000001</v>
      </c>
      <c r="C178" s="38" t="e">
        <f>(B178-#REF!)/(B$16/1000)</f>
        <v>#REF!</v>
      </c>
      <c r="D178" s="56" t="e">
        <f t="shared" si="1"/>
        <v>#REF!</v>
      </c>
    </row>
    <row r="179" spans="1:4" x14ac:dyDescent="0.25">
      <c r="A179" s="3" t="s">
        <v>190</v>
      </c>
      <c r="B179" s="11">
        <f>B181+B19</f>
        <v>27652.530000000002</v>
      </c>
      <c r="C179" s="38" t="e">
        <f>(B179-#REF!)/(B$16/1000)</f>
        <v>#REF!</v>
      </c>
      <c r="D179" s="56" t="e">
        <f t="shared" si="1"/>
        <v>#REF!</v>
      </c>
    </row>
    <row r="180" spans="1:4" x14ac:dyDescent="0.25">
      <c r="A180" s="36" t="s">
        <v>139</v>
      </c>
      <c r="B180" s="37">
        <f>B39</f>
        <v>0</v>
      </c>
      <c r="C180" s="38" t="e">
        <f>(B180-#REF!)/(B$16/1000)</f>
        <v>#REF!</v>
      </c>
      <c r="D180" s="56" t="e">
        <f t="shared" ref="D180" si="2">(C180-INT(C180))*12</f>
        <v>#REF!</v>
      </c>
    </row>
    <row r="181" spans="1:4" x14ac:dyDescent="0.25">
      <c r="A181" s="36" t="s">
        <v>72</v>
      </c>
      <c r="B181" s="11">
        <f>B170-B12/2</f>
        <v>27650.080000000002</v>
      </c>
      <c r="C181" s="38" t="e">
        <f>(B181-#REF!)/(B$16/1000)</f>
        <v>#REF!</v>
      </c>
      <c r="D181" s="86" t="s">
        <v>83</v>
      </c>
    </row>
    <row r="183" spans="1:4" ht="30" x14ac:dyDescent="0.25">
      <c r="A183" s="60" t="s">
        <v>34</v>
      </c>
      <c r="B183" s="2" t="s">
        <v>73</v>
      </c>
      <c r="C183" s="2" t="s">
        <v>1</v>
      </c>
    </row>
    <row r="184" spans="1:4" x14ac:dyDescent="0.25">
      <c r="A184" s="3" t="s">
        <v>58</v>
      </c>
      <c r="B184" s="9">
        <f>B166-B181</f>
        <v>100</v>
      </c>
      <c r="C184" s="3"/>
    </row>
    <row r="185" spans="1:4" x14ac:dyDescent="0.25">
      <c r="A185" s="51" t="s">
        <v>16</v>
      </c>
      <c r="B185" s="52" t="str">
        <f>IF(ABS(B184-B12)&lt;0.00000001,"ok","ERROR!!!!!")</f>
        <v>ok</v>
      </c>
      <c r="C185" s="3"/>
    </row>
    <row r="186" spans="1:4" x14ac:dyDescent="0.25">
      <c r="A186" s="3" t="s">
        <v>74</v>
      </c>
      <c r="B186" s="11">
        <f>B167-B179</f>
        <v>95.099999999998545</v>
      </c>
      <c r="C186" s="3"/>
    </row>
    <row r="187" spans="1:4" x14ac:dyDescent="0.25">
      <c r="A187" s="3" t="s">
        <v>75</v>
      </c>
      <c r="B187" s="11" t="e">
        <f>#REF!-#REF!</f>
        <v>#REF!</v>
      </c>
      <c r="C187" s="3"/>
    </row>
    <row r="188" spans="1:4" ht="30" x14ac:dyDescent="0.25">
      <c r="A188" s="3" t="s">
        <v>76</v>
      </c>
      <c r="B188" s="3" t="e">
        <f>1000*(B186-B187)</f>
        <v>#REF!</v>
      </c>
      <c r="C188" s="3"/>
    </row>
    <row r="189" spans="1:4" x14ac:dyDescent="0.25">
      <c r="A189" s="51" t="s">
        <v>16</v>
      </c>
      <c r="B189" s="52" t="e">
        <f>IF(ABS(B188-B15)&lt;0.00000001,"ok","ERROR!!!!!")</f>
        <v>#REF!</v>
      </c>
      <c r="C189" s="3"/>
    </row>
    <row r="190" spans="1:4" x14ac:dyDescent="0.25">
      <c r="A190" s="3" t="s">
        <v>78</v>
      </c>
      <c r="B190" s="9" t="e">
        <f>1000*(B178-#REF!)</f>
        <v>#REF!</v>
      </c>
      <c r="C190" s="3"/>
    </row>
    <row r="191" spans="1:4" x14ac:dyDescent="0.25">
      <c r="A191" s="51" t="s">
        <v>16</v>
      </c>
      <c r="B191" s="52" t="e">
        <f>IF(ABS(B190-B15/2)&lt;0.00000001,"ok","ERROR!!!!!")</f>
        <v>#REF!</v>
      </c>
      <c r="C191" s="3"/>
    </row>
    <row r="192" spans="1:4" ht="45" x14ac:dyDescent="0.25">
      <c r="A192" s="3" t="s">
        <v>81</v>
      </c>
      <c r="B192" s="9">
        <f>1000*(B173-B175)</f>
        <v>150.00000000145519</v>
      </c>
      <c r="C192" s="3"/>
    </row>
  </sheetData>
  <phoneticPr fontId="5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3EF6B-09DA-496B-90A9-7C99592611AD}">
  <dimension ref="A1:E63"/>
  <sheetViews>
    <sheetView workbookViewId="0">
      <pane xSplit="1" ySplit="3" topLeftCell="B53" activePane="bottomRight" state="frozenSplit"/>
      <selection pane="topRight" activeCell="B1" sqref="B1"/>
      <selection pane="bottomLeft" activeCell="A5" sqref="A5"/>
      <selection pane="bottomRight" activeCell="B61" sqref="B61"/>
    </sheetView>
  </sheetViews>
  <sheetFormatPr baseColWidth="10" defaultColWidth="11.42578125" defaultRowHeight="15" x14ac:dyDescent="0.25"/>
  <cols>
    <col min="1" max="1" width="39.28515625" style="1" customWidth="1"/>
    <col min="2" max="2" width="14" style="1" customWidth="1"/>
    <col min="3" max="3" width="53.42578125" style="1" customWidth="1"/>
    <col min="4" max="4" width="22.7109375" style="1" customWidth="1"/>
    <col min="5" max="5" width="20.140625" style="1" bestFit="1" customWidth="1"/>
    <col min="6" max="16384" width="11.42578125" style="1"/>
  </cols>
  <sheetData>
    <row r="1" spans="1:3" ht="18.75" x14ac:dyDescent="0.25">
      <c r="A1" s="8" t="s">
        <v>244</v>
      </c>
    </row>
    <row r="2" spans="1:3" x14ac:dyDescent="0.25">
      <c r="A2" s="100" t="s">
        <v>65</v>
      </c>
      <c r="B2" s="43"/>
      <c r="C2" s="43"/>
    </row>
    <row r="3" spans="1:3" x14ac:dyDescent="0.25">
      <c r="A3" s="2" t="s">
        <v>2</v>
      </c>
      <c r="B3" s="2" t="s">
        <v>3</v>
      </c>
      <c r="C3" s="2" t="s">
        <v>1</v>
      </c>
    </row>
    <row r="4" spans="1:3" x14ac:dyDescent="0.25">
      <c r="A4" s="5" t="s">
        <v>59</v>
      </c>
      <c r="B4" s="49">
        <v>12</v>
      </c>
      <c r="C4" s="5" t="s">
        <v>36</v>
      </c>
    </row>
    <row r="5" spans="1:3" ht="15.75" thickBot="1" x14ac:dyDescent="0.3">
      <c r="A5" s="15"/>
      <c r="B5" s="14"/>
      <c r="C5" s="15"/>
    </row>
    <row r="6" spans="1:3" ht="16.5" thickBot="1" x14ac:dyDescent="0.3">
      <c r="A6" s="82" t="s">
        <v>35</v>
      </c>
      <c r="B6" s="83"/>
      <c r="C6" s="84"/>
    </row>
    <row r="7" spans="1:3" x14ac:dyDescent="0.25">
      <c r="A7" s="80" t="s">
        <v>0</v>
      </c>
      <c r="B7" s="81" t="s">
        <v>4</v>
      </c>
      <c r="C7" s="66" t="s">
        <v>14</v>
      </c>
    </row>
    <row r="8" spans="1:3" x14ac:dyDescent="0.25">
      <c r="A8" s="101" t="s">
        <v>135</v>
      </c>
      <c r="B8" s="102" t="s">
        <v>171</v>
      </c>
      <c r="C8" s="66" t="s">
        <v>172</v>
      </c>
    </row>
    <row r="9" spans="1:3" x14ac:dyDescent="0.25">
      <c r="A9" s="60" t="s">
        <v>106</v>
      </c>
      <c r="B9" s="102" t="s">
        <v>102</v>
      </c>
      <c r="C9" s="3" t="s">
        <v>172</v>
      </c>
    </row>
    <row r="10" spans="1:3" ht="15.75" thickBot="1" x14ac:dyDescent="0.3">
      <c r="A10" s="7"/>
      <c r="B10" s="14"/>
    </row>
    <row r="11" spans="1:3" ht="16.5" thickBot="1" x14ac:dyDescent="0.3">
      <c r="A11" s="69" t="s">
        <v>243</v>
      </c>
      <c r="B11" s="85"/>
      <c r="C11" s="71"/>
    </row>
    <row r="12" spans="1:3" x14ac:dyDescent="0.25">
      <c r="A12" s="66" t="s">
        <v>241</v>
      </c>
      <c r="B12" s="103">
        <v>27750.080000000002</v>
      </c>
      <c r="C12" s="66" t="s">
        <v>239</v>
      </c>
    </row>
    <row r="13" spans="1:3" x14ac:dyDescent="0.25">
      <c r="A13" s="66" t="s">
        <v>240</v>
      </c>
      <c r="B13" s="103">
        <v>27650.080000000002</v>
      </c>
      <c r="C13" s="66" t="s">
        <v>239</v>
      </c>
    </row>
    <row r="14" spans="1:3" x14ac:dyDescent="0.25">
      <c r="A14" s="66" t="s">
        <v>242</v>
      </c>
      <c r="B14" s="203">
        <f>B12-B13</f>
        <v>100</v>
      </c>
      <c r="C14" s="66"/>
    </row>
    <row r="15" spans="1:3" x14ac:dyDescent="0.25">
      <c r="A15" s="66" t="s">
        <v>245</v>
      </c>
      <c r="B15" s="20">
        <f>(B12+B13)/2</f>
        <v>27700.080000000002</v>
      </c>
      <c r="C15" s="66"/>
    </row>
    <row r="16" spans="1:3" x14ac:dyDescent="0.25">
      <c r="A16" s="51" t="s">
        <v>16</v>
      </c>
      <c r="B16" s="51" t="str">
        <f>IF(B12-B14/2=B15,"ok","ERROR!!")</f>
        <v>ok</v>
      </c>
    </row>
    <row r="17" spans="1:5" ht="15.75" thickBot="1" x14ac:dyDescent="0.3">
      <c r="A17" s="7"/>
      <c r="B17" s="14"/>
    </row>
    <row r="18" spans="1:5" ht="16.5" thickBot="1" x14ac:dyDescent="0.3">
      <c r="A18" s="78" t="s">
        <v>238</v>
      </c>
      <c r="B18" s="70"/>
      <c r="C18" s="71"/>
    </row>
    <row r="19" spans="1:5" x14ac:dyDescent="0.25">
      <c r="A19" s="66" t="s">
        <v>11</v>
      </c>
      <c r="B19" s="77">
        <v>2104165</v>
      </c>
      <c r="C19" s="66" t="s">
        <v>43</v>
      </c>
    </row>
    <row r="20" spans="1:5" x14ac:dyDescent="0.25">
      <c r="A20" s="3" t="s">
        <v>10</v>
      </c>
      <c r="B20" s="10">
        <v>2054166</v>
      </c>
      <c r="C20" s="3" t="s">
        <v>43</v>
      </c>
    </row>
    <row r="21" spans="1:5" ht="30" x14ac:dyDescent="0.25">
      <c r="A21" s="3" t="s">
        <v>249</v>
      </c>
      <c r="B21" s="10">
        <v>60</v>
      </c>
      <c r="C21" s="3" t="s">
        <v>248</v>
      </c>
    </row>
    <row r="22" spans="1:5" x14ac:dyDescent="0.25">
      <c r="A22" s="3" t="s">
        <v>252</v>
      </c>
      <c r="B22" s="10">
        <v>60</v>
      </c>
      <c r="C22" s="3" t="s">
        <v>253</v>
      </c>
    </row>
    <row r="23" spans="1:5" x14ac:dyDescent="0.25">
      <c r="A23" s="3" t="s">
        <v>255</v>
      </c>
      <c r="B23" s="10">
        <v>2016667</v>
      </c>
      <c r="C23" s="3" t="s">
        <v>253</v>
      </c>
    </row>
    <row r="24" spans="1:5" x14ac:dyDescent="0.25">
      <c r="A24" s="3" t="s">
        <v>254</v>
      </c>
      <c r="B24" s="103">
        <v>24250.080000000002</v>
      </c>
      <c r="C24" s="3" t="s">
        <v>253</v>
      </c>
    </row>
    <row r="25" spans="1:5" x14ac:dyDescent="0.25">
      <c r="A25" s="66" t="s">
        <v>251</v>
      </c>
      <c r="B25" s="196">
        <f>$B$22*10^-3*(B19-$B$23)+$B$24</f>
        <v>29499.960000000003</v>
      </c>
      <c r="C25" s="3" t="s">
        <v>250</v>
      </c>
      <c r="E25" s="13"/>
    </row>
    <row r="26" spans="1:5" x14ac:dyDescent="0.25">
      <c r="A26" s="66" t="s">
        <v>260</v>
      </c>
      <c r="B26" s="196">
        <f>$B$22*10^-3*(B20-$B$23)+$B$24</f>
        <v>26500.02</v>
      </c>
      <c r="C26" s="3" t="s">
        <v>250</v>
      </c>
    </row>
    <row r="27" spans="1:5" ht="15.75" thickBot="1" x14ac:dyDescent="0.3"/>
    <row r="28" spans="1:5" ht="15.75" x14ac:dyDescent="0.25">
      <c r="A28" s="199" t="s">
        <v>261</v>
      </c>
      <c r="B28" s="200"/>
      <c r="C28" s="201"/>
    </row>
    <row r="29" spans="1:5" x14ac:dyDescent="0.25">
      <c r="A29" s="3" t="s">
        <v>58</v>
      </c>
      <c r="B29" s="10">
        <v>100</v>
      </c>
      <c r="C29" s="3"/>
    </row>
    <row r="30" spans="1:5" x14ac:dyDescent="0.25">
      <c r="A30" s="3" t="s">
        <v>256</v>
      </c>
      <c r="B30" s="20">
        <f>$B$15</f>
        <v>27700.080000000002</v>
      </c>
      <c r="C30" s="3" t="s">
        <v>257</v>
      </c>
    </row>
    <row r="31" spans="1:5" x14ac:dyDescent="0.25">
      <c r="A31" s="3" t="s">
        <v>258</v>
      </c>
      <c r="B31" s="20">
        <f>(B30-$B$26)/($B$22*10^-3)</f>
        <v>20001.000000000022</v>
      </c>
      <c r="C31" s="3" t="s">
        <v>5</v>
      </c>
    </row>
    <row r="32" spans="1:5" x14ac:dyDescent="0.25">
      <c r="A32" s="197" t="s">
        <v>259</v>
      </c>
      <c r="B32" s="198" t="str">
        <f>IF(INT(B31)=B31,"Yes","No")</f>
        <v>Yes</v>
      </c>
      <c r="C32" s="3" t="s">
        <v>5</v>
      </c>
    </row>
    <row r="33" spans="1:3" x14ac:dyDescent="0.25">
      <c r="A33" s="3" t="s">
        <v>267</v>
      </c>
      <c r="B33" s="20">
        <f>$B$26+ROUND(B31,0)*$B$21*10^-3</f>
        <v>27700.080000000002</v>
      </c>
      <c r="C33" s="3" t="s">
        <v>263</v>
      </c>
    </row>
    <row r="34" spans="1:3" x14ac:dyDescent="0.25">
      <c r="A34" s="3" t="s">
        <v>293</v>
      </c>
      <c r="B34" s="20">
        <f>B33+B29/2</f>
        <v>27750.080000000002</v>
      </c>
      <c r="C34" s="3"/>
    </row>
    <row r="35" spans="1:3" x14ac:dyDescent="0.25">
      <c r="A35" s="3" t="s">
        <v>294</v>
      </c>
      <c r="B35" s="20">
        <f>B33-B29/2</f>
        <v>27650.080000000002</v>
      </c>
      <c r="C35" s="3"/>
    </row>
    <row r="36" spans="1:3" ht="15.75" thickBot="1" x14ac:dyDescent="0.3"/>
    <row r="37" spans="1:3" ht="15.75" x14ac:dyDescent="0.25">
      <c r="A37" s="199" t="s">
        <v>262</v>
      </c>
      <c r="B37" s="200"/>
      <c r="C37" s="201"/>
    </row>
    <row r="38" spans="1:3" x14ac:dyDescent="0.25">
      <c r="A38" s="3" t="s">
        <v>58</v>
      </c>
      <c r="B38" s="10">
        <v>50</v>
      </c>
      <c r="C38" s="3"/>
    </row>
    <row r="39" spans="1:3" x14ac:dyDescent="0.25">
      <c r="A39" s="60" t="s">
        <v>266</v>
      </c>
      <c r="B39" s="10"/>
      <c r="C39" s="3"/>
    </row>
    <row r="40" spans="1:3" x14ac:dyDescent="0.25">
      <c r="A40" s="3" t="s">
        <v>264</v>
      </c>
      <c r="B40" s="20">
        <f>$B$13+1/4*$B$14</f>
        <v>27675.08</v>
      </c>
      <c r="C40" s="3" t="s">
        <v>265</v>
      </c>
    </row>
    <row r="41" spans="1:3" x14ac:dyDescent="0.25">
      <c r="A41" s="3" t="s">
        <v>258</v>
      </c>
      <c r="B41" s="20">
        <f>(B40-$B$26)/($B$22*10^-3)</f>
        <v>19584.333333333358</v>
      </c>
      <c r="C41" s="3" t="s">
        <v>5</v>
      </c>
    </row>
    <row r="42" spans="1:3" x14ac:dyDescent="0.25">
      <c r="A42" s="197" t="s">
        <v>268</v>
      </c>
      <c r="B42" s="198" t="str">
        <f>IF(INT(B41)=B41,"Yes","No")</f>
        <v>No</v>
      </c>
      <c r="C42" s="3" t="s">
        <v>5</v>
      </c>
    </row>
    <row r="43" spans="1:3" x14ac:dyDescent="0.25">
      <c r="A43" s="3" t="s">
        <v>267</v>
      </c>
      <c r="B43" s="20">
        <f>$B$26+ROUND(B41,0)*$B$21*10^-3</f>
        <v>27675.06</v>
      </c>
      <c r="C43" s="3" t="s">
        <v>263</v>
      </c>
    </row>
    <row r="44" spans="1:3" ht="30" x14ac:dyDescent="0.25">
      <c r="A44" s="3" t="s">
        <v>270</v>
      </c>
      <c r="B44" s="3">
        <f>((B43-$B$38/2)-$B$13)*1000</f>
        <v>-20.000000000436557</v>
      </c>
      <c r="C44" s="3" t="s">
        <v>275</v>
      </c>
    </row>
    <row r="45" spans="1:3" x14ac:dyDescent="0.25">
      <c r="A45" s="60" t="s">
        <v>269</v>
      </c>
    </row>
    <row r="46" spans="1:3" x14ac:dyDescent="0.25">
      <c r="A46" s="3" t="s">
        <v>272</v>
      </c>
      <c r="B46" s="20">
        <f>$B$13+3/4*$B$14</f>
        <v>27725.08</v>
      </c>
      <c r="C46" s="3" t="s">
        <v>271</v>
      </c>
    </row>
    <row r="47" spans="1:3" x14ac:dyDescent="0.25">
      <c r="A47" s="3" t="s">
        <v>258</v>
      </c>
      <c r="B47" s="20">
        <f>(B46-$B$26)/($B$22*10^-3)</f>
        <v>20417.66666666669</v>
      </c>
      <c r="C47" s="3" t="s">
        <v>5</v>
      </c>
    </row>
    <row r="48" spans="1:3" x14ac:dyDescent="0.25">
      <c r="A48" s="197" t="s">
        <v>268</v>
      </c>
      <c r="B48" s="198" t="str">
        <f>IF(INT(B47)=B47,"Yes","No")</f>
        <v>No</v>
      </c>
      <c r="C48" s="3" t="s">
        <v>5</v>
      </c>
    </row>
    <row r="49" spans="1:3" x14ac:dyDescent="0.25">
      <c r="A49" s="3" t="s">
        <v>267</v>
      </c>
      <c r="B49" s="20">
        <f>$B$26+ROUNDDOWN(B47,0)*$B$21*10^-3</f>
        <v>27725.040000000001</v>
      </c>
      <c r="C49" s="3" t="s">
        <v>263</v>
      </c>
    </row>
    <row r="50" spans="1:3" ht="30" x14ac:dyDescent="0.25">
      <c r="A50" s="3" t="s">
        <v>273</v>
      </c>
      <c r="B50" s="3">
        <f>($B$12-(B49+$B$38/2))*1000</f>
        <v>40.000000000873115</v>
      </c>
      <c r="C50" s="3" t="s">
        <v>276</v>
      </c>
    </row>
    <row r="51" spans="1:3" ht="30" x14ac:dyDescent="0.25">
      <c r="A51" s="3" t="s">
        <v>274</v>
      </c>
      <c r="B51" s="3">
        <f>((B49-B38/2)-(B43+B38/2))*1000</f>
        <v>-20.000000000436557</v>
      </c>
      <c r="C51" s="3" t="s">
        <v>292</v>
      </c>
    </row>
    <row r="52" spans="1:3" x14ac:dyDescent="0.25">
      <c r="A52" s="51" t="s">
        <v>16</v>
      </c>
      <c r="B52" s="51" t="str">
        <f>IF(B51+B44+B50=0,"ok","ERROR")</f>
        <v>ok</v>
      </c>
    </row>
    <row r="53" spans="1:3" ht="30" x14ac:dyDescent="0.25">
      <c r="A53" s="1" t="s">
        <v>277</v>
      </c>
    </row>
    <row r="54" spans="1:3" ht="15.75" thickBot="1" x14ac:dyDescent="0.3"/>
    <row r="55" spans="1:3" ht="15.75" x14ac:dyDescent="0.25">
      <c r="A55" s="199" t="s">
        <v>278</v>
      </c>
      <c r="B55" s="199"/>
      <c r="C55" s="199"/>
    </row>
    <row r="56" spans="1:3" x14ac:dyDescent="0.25">
      <c r="A56" s="3" t="s">
        <v>267</v>
      </c>
      <c r="B56" s="20">
        <f>B33</f>
        <v>27700.080000000002</v>
      </c>
      <c r="C56" s="3" t="s">
        <v>291</v>
      </c>
    </row>
    <row r="57" spans="1:3" ht="30" x14ac:dyDescent="0.25">
      <c r="A57" s="3" t="s">
        <v>279</v>
      </c>
      <c r="B57" s="6">
        <v>120</v>
      </c>
      <c r="C57" s="3" t="s">
        <v>283</v>
      </c>
    </row>
    <row r="58" spans="1:3" ht="30" x14ac:dyDescent="0.25">
      <c r="A58" s="3" t="s">
        <v>280</v>
      </c>
      <c r="B58" s="6">
        <v>66</v>
      </c>
      <c r="C58" s="3" t="s">
        <v>282</v>
      </c>
    </row>
    <row r="59" spans="1:3" x14ac:dyDescent="0.25">
      <c r="A59" s="3" t="s">
        <v>281</v>
      </c>
      <c r="B59" s="19">
        <f>B58*12/2+1-1</f>
        <v>396</v>
      </c>
      <c r="C59" s="3"/>
    </row>
    <row r="60" spans="1:3" x14ac:dyDescent="0.25">
      <c r="A60" s="3" t="s">
        <v>284</v>
      </c>
      <c r="B60" s="20">
        <f>B56-B57*B59/1000</f>
        <v>27652.560000000001</v>
      </c>
      <c r="C60" s="3"/>
    </row>
    <row r="61" spans="1:3" x14ac:dyDescent="0.25">
      <c r="A61" s="3" t="s">
        <v>288</v>
      </c>
      <c r="B61" s="20">
        <f>B$60-1*12*B$57/1000</f>
        <v>27651.120000000003</v>
      </c>
      <c r="C61" s="202" t="s">
        <v>285</v>
      </c>
    </row>
    <row r="62" spans="1:3" x14ac:dyDescent="0.25">
      <c r="A62" s="3" t="s">
        <v>289</v>
      </c>
      <c r="B62" s="20">
        <f>B$60-2*12*B$57/1000</f>
        <v>27649.68</v>
      </c>
      <c r="C62" s="202" t="s">
        <v>286</v>
      </c>
    </row>
    <row r="63" spans="1:3" x14ac:dyDescent="0.25">
      <c r="A63" s="3" t="s">
        <v>290</v>
      </c>
      <c r="B63" s="20">
        <f>B$60-3*12*B$57/1000</f>
        <v>27648.240000000002</v>
      </c>
      <c r="C63" s="202" t="s">
        <v>287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09C22-80A9-4E7D-A1E9-E10E12FADF14}">
  <dimension ref="A1:J27"/>
  <sheetViews>
    <sheetView workbookViewId="0">
      <selection activeCell="M9" sqref="M9:P26"/>
    </sheetView>
  </sheetViews>
  <sheetFormatPr baseColWidth="10" defaultColWidth="10.85546875" defaultRowHeight="15" x14ac:dyDescent="0.25"/>
  <cols>
    <col min="1" max="1" width="30.7109375" style="204" customWidth="1"/>
    <col min="2" max="2" width="10.85546875" style="204"/>
    <col min="3" max="3" width="11.42578125" style="204" bestFit="1" customWidth="1"/>
    <col min="4" max="6" width="11.42578125" style="204" customWidth="1"/>
    <col min="7" max="16384" width="10.85546875" style="204"/>
  </cols>
  <sheetData>
    <row r="1" spans="1:10" ht="18.75" x14ac:dyDescent="0.25">
      <c r="A1" s="205" t="s">
        <v>295</v>
      </c>
    </row>
    <row r="4" spans="1:10" ht="18.75" x14ac:dyDescent="0.25">
      <c r="A4" s="205" t="s">
        <v>295</v>
      </c>
    </row>
    <row r="6" spans="1:10" x14ac:dyDescent="0.25">
      <c r="A6" s="206" t="s">
        <v>303</v>
      </c>
      <c r="B6" s="187">
        <f>0.3</f>
        <v>0.3</v>
      </c>
    </row>
    <row r="7" spans="1:10" x14ac:dyDescent="0.25">
      <c r="A7" s="207"/>
    </row>
    <row r="8" spans="1:10" ht="30" x14ac:dyDescent="0.25">
      <c r="A8" s="207"/>
      <c r="B8" s="218" t="s">
        <v>312</v>
      </c>
      <c r="C8" s="219" t="s">
        <v>311</v>
      </c>
      <c r="D8" s="219" t="s">
        <v>298</v>
      </c>
      <c r="E8" s="219" t="s">
        <v>299</v>
      </c>
      <c r="F8" s="219" t="s">
        <v>305</v>
      </c>
      <c r="G8" s="220" t="s">
        <v>306</v>
      </c>
      <c r="H8" s="219" t="s">
        <v>307</v>
      </c>
      <c r="I8" s="219" t="s">
        <v>308</v>
      </c>
      <c r="J8" s="219" t="s">
        <v>309</v>
      </c>
    </row>
    <row r="9" spans="1:10" x14ac:dyDescent="0.25">
      <c r="A9" s="206" t="s">
        <v>324</v>
      </c>
      <c r="B9" s="187">
        <v>1</v>
      </c>
      <c r="C9" s="221">
        <f>1/B10</f>
        <v>2.2222222222222223E-2</v>
      </c>
      <c r="D9" s="222">
        <f>$C$9*D10</f>
        <v>1.5873015873015874</v>
      </c>
      <c r="E9" s="222">
        <f t="shared" ref="E9:J9" si="0">$C$9*E10</f>
        <v>0.79365079365079372</v>
      </c>
      <c r="F9" s="222">
        <f t="shared" si="0"/>
        <v>0.39682539682539686</v>
      </c>
      <c r="G9" s="223">
        <f t="shared" si="0"/>
        <v>0.19841269841269843</v>
      </c>
      <c r="H9" s="222">
        <f t="shared" si="0"/>
        <v>9.9206349206349215E-2</v>
      </c>
      <c r="I9" s="222">
        <f t="shared" si="0"/>
        <v>4.9603174603174607E-2</v>
      </c>
      <c r="J9" s="222">
        <f t="shared" si="0"/>
        <v>2.4801587301587304E-2</v>
      </c>
    </row>
    <row r="10" spans="1:10" x14ac:dyDescent="0.25">
      <c r="A10" s="206" t="s">
        <v>296</v>
      </c>
      <c r="B10" s="187">
        <v>45</v>
      </c>
      <c r="C10" s="187">
        <v>1</v>
      </c>
      <c r="D10" s="213">
        <v>71.428571428571431</v>
      </c>
      <c r="E10" s="213">
        <f>D10/2</f>
        <v>35.714285714285715</v>
      </c>
      <c r="F10" s="213">
        <f>E10/2</f>
        <v>17.857142857142858</v>
      </c>
      <c r="G10" s="214">
        <f>F10/2</f>
        <v>8.9285714285714288</v>
      </c>
      <c r="H10" s="213">
        <f>G10/2</f>
        <v>4.4642857142857144</v>
      </c>
      <c r="I10" s="213">
        <f t="shared" ref="I10:J10" si="1">H10/2</f>
        <v>2.2321428571428572</v>
      </c>
      <c r="J10" s="213">
        <f t="shared" si="1"/>
        <v>1.1160714285714286</v>
      </c>
    </row>
    <row r="11" spans="1:10" x14ac:dyDescent="0.25">
      <c r="A11" s="5" t="s">
        <v>300</v>
      </c>
      <c r="B11" s="187">
        <v>63</v>
      </c>
      <c r="C11" s="54">
        <f>B11/$B$10</f>
        <v>1.4</v>
      </c>
      <c r="D11" s="61">
        <f>$C11*D$10</f>
        <v>100</v>
      </c>
      <c r="E11" s="61">
        <f t="shared" ref="E11:J12" si="2">$C11*E$10</f>
        <v>50</v>
      </c>
      <c r="F11" s="61">
        <f t="shared" si="2"/>
        <v>25</v>
      </c>
      <c r="G11" s="211">
        <f t="shared" si="2"/>
        <v>12.5</v>
      </c>
      <c r="H11" s="61">
        <f t="shared" si="2"/>
        <v>6.25</v>
      </c>
      <c r="I11" s="61">
        <f t="shared" si="2"/>
        <v>3.125</v>
      </c>
      <c r="J11" s="61">
        <f t="shared" si="2"/>
        <v>1.5625</v>
      </c>
    </row>
    <row r="12" spans="1:10" x14ac:dyDescent="0.25">
      <c r="A12" s="5" t="s">
        <v>301</v>
      </c>
      <c r="B12" s="187">
        <v>118</v>
      </c>
      <c r="C12" s="61">
        <f>B12/$B$10</f>
        <v>2.6222222222222222</v>
      </c>
      <c r="D12" s="61">
        <f>$C12*D$10</f>
        <v>187.30158730158732</v>
      </c>
      <c r="E12" s="61">
        <f t="shared" si="2"/>
        <v>93.650793650793659</v>
      </c>
      <c r="F12" s="61">
        <f t="shared" si="2"/>
        <v>46.82539682539683</v>
      </c>
      <c r="G12" s="211">
        <f t="shared" si="2"/>
        <v>23.412698412698415</v>
      </c>
      <c r="H12" s="61">
        <f t="shared" si="2"/>
        <v>11.706349206349207</v>
      </c>
      <c r="I12" s="61">
        <f t="shared" si="2"/>
        <v>5.8531746031746037</v>
      </c>
      <c r="J12" s="61">
        <f t="shared" si="2"/>
        <v>2.9265873015873018</v>
      </c>
    </row>
    <row r="13" spans="1:10" x14ac:dyDescent="0.25">
      <c r="A13" s="5" t="s">
        <v>302</v>
      </c>
      <c r="B13" s="209"/>
      <c r="C13" s="209"/>
      <c r="D13" s="54">
        <f>D11*$B$6</f>
        <v>30</v>
      </c>
      <c r="E13" s="54">
        <f t="shared" ref="E13:H13" si="3">E11*$B$6</f>
        <v>15</v>
      </c>
      <c r="F13" s="54">
        <f t="shared" si="3"/>
        <v>7.5</v>
      </c>
      <c r="G13" s="212">
        <f t="shared" si="3"/>
        <v>3.75</v>
      </c>
      <c r="H13" s="61">
        <f t="shared" si="3"/>
        <v>1.875</v>
      </c>
      <c r="I13" s="61">
        <f t="shared" ref="I13:J13" si="4">I11*$B$6</f>
        <v>0.9375</v>
      </c>
      <c r="J13" s="61">
        <f t="shared" si="4"/>
        <v>0.46875</v>
      </c>
    </row>
    <row r="14" spans="1:10" x14ac:dyDescent="0.25">
      <c r="A14" s="5" t="s">
        <v>304</v>
      </c>
      <c r="B14" s="209"/>
      <c r="C14" s="209"/>
      <c r="D14" s="61">
        <f>D12*$B$6</f>
        <v>56.190476190476197</v>
      </c>
      <c r="E14" s="61">
        <f t="shared" ref="E14:H14" si="5">E12*$B$6</f>
        <v>28.095238095238098</v>
      </c>
      <c r="F14" s="61">
        <f t="shared" si="5"/>
        <v>14.047619047619049</v>
      </c>
      <c r="G14" s="211">
        <f t="shared" si="5"/>
        <v>7.0238095238095246</v>
      </c>
      <c r="H14" s="61">
        <f t="shared" si="5"/>
        <v>3.5119047619047623</v>
      </c>
      <c r="I14" s="61">
        <f t="shared" ref="I14:J14" si="6">I12*$B$6</f>
        <v>1.7559523809523812</v>
      </c>
      <c r="J14" s="61">
        <f t="shared" si="6"/>
        <v>0.87797619047619058</v>
      </c>
    </row>
    <row r="17" spans="1:10" ht="18.75" x14ac:dyDescent="0.25">
      <c r="A17" s="205" t="s">
        <v>310</v>
      </c>
    </row>
    <row r="18" spans="1:10" ht="18.75" x14ac:dyDescent="0.25">
      <c r="A18" s="205"/>
      <c r="B18" s="181" t="s">
        <v>320</v>
      </c>
      <c r="D18" s="215"/>
      <c r="E18" s="215"/>
      <c r="F18" s="215"/>
      <c r="G18" s="215"/>
      <c r="H18" s="215"/>
      <c r="I18" s="215"/>
      <c r="J18" s="215"/>
    </row>
    <row r="19" spans="1:10" x14ac:dyDescent="0.25">
      <c r="A19" s="206" t="s">
        <v>321</v>
      </c>
      <c r="B19" s="187">
        <v>10</v>
      </c>
      <c r="C19" s="217"/>
      <c r="D19" s="2" t="s">
        <v>297</v>
      </c>
      <c r="E19" s="2" t="s">
        <v>313</v>
      </c>
      <c r="F19" s="2" t="s">
        <v>314</v>
      </c>
      <c r="G19" s="210" t="s">
        <v>315</v>
      </c>
      <c r="H19" s="2" t="s">
        <v>316</v>
      </c>
      <c r="I19" s="2" t="s">
        <v>317</v>
      </c>
      <c r="J19" s="2" t="s">
        <v>318</v>
      </c>
    </row>
    <row r="20" spans="1:10" x14ac:dyDescent="0.25">
      <c r="A20" s="206" t="s">
        <v>319</v>
      </c>
      <c r="B20" s="216"/>
      <c r="C20" s="217"/>
      <c r="D20" s="54">
        <f>$B19/D$10</f>
        <v>0.13999999999999999</v>
      </c>
      <c r="E20" s="54">
        <f t="shared" ref="E20:J20" si="7">$B19/E$10</f>
        <v>0.27999999999999997</v>
      </c>
      <c r="F20" s="54">
        <f t="shared" si="7"/>
        <v>0.55999999999999994</v>
      </c>
      <c r="G20" s="211">
        <f t="shared" si="7"/>
        <v>1.1199999999999999</v>
      </c>
      <c r="H20" s="54">
        <f t="shared" si="7"/>
        <v>2.2399999999999998</v>
      </c>
      <c r="I20" s="54">
        <f t="shared" si="7"/>
        <v>4.4799999999999995</v>
      </c>
      <c r="J20" s="54">
        <f t="shared" si="7"/>
        <v>8.9599999999999991</v>
      </c>
    </row>
    <row r="21" spans="1:10" x14ac:dyDescent="0.25">
      <c r="A21" s="206" t="s">
        <v>322</v>
      </c>
      <c r="B21" s="216"/>
      <c r="C21" s="217"/>
      <c r="D21" s="54">
        <f>D20*$B$10</f>
        <v>6.2999999999999989</v>
      </c>
      <c r="E21" s="54">
        <f t="shared" ref="E21:J21" si="8">E20*$B$10</f>
        <v>12.599999999999998</v>
      </c>
      <c r="F21" s="54">
        <f t="shared" si="8"/>
        <v>25.199999999999996</v>
      </c>
      <c r="G21" s="211">
        <f t="shared" si="8"/>
        <v>50.399999999999991</v>
      </c>
      <c r="H21" s="54">
        <f t="shared" si="8"/>
        <v>100.79999999999998</v>
      </c>
      <c r="I21" s="54">
        <f t="shared" si="8"/>
        <v>201.59999999999997</v>
      </c>
      <c r="J21" s="54">
        <f t="shared" si="8"/>
        <v>403.19999999999993</v>
      </c>
    </row>
    <row r="22" spans="1:10" x14ac:dyDescent="0.25">
      <c r="A22" s="206" t="s">
        <v>323</v>
      </c>
      <c r="B22" s="187">
        <v>3</v>
      </c>
      <c r="C22" s="217"/>
      <c r="D22" s="2" t="str">
        <f>D19</f>
        <v>(µ=0, NCP)</v>
      </c>
      <c r="E22" s="2" t="str">
        <f t="shared" ref="E22:J22" si="9">E19</f>
        <v>(µ=1, NCP)</v>
      </c>
      <c r="F22" s="2" t="str">
        <f t="shared" si="9"/>
        <v>(µ=2, NCP)</v>
      </c>
      <c r="G22" s="210" t="str">
        <f t="shared" si="9"/>
        <v>(µ=3, NCP)</v>
      </c>
      <c r="H22" s="2" t="str">
        <f t="shared" si="9"/>
        <v>(µ=4, NCP)</v>
      </c>
      <c r="I22" s="2" t="str">
        <f t="shared" si="9"/>
        <v>(µ=5, NCP)</v>
      </c>
      <c r="J22" s="2" t="str">
        <f t="shared" si="9"/>
        <v>(µ=6, NCP)</v>
      </c>
    </row>
    <row r="23" spans="1:10" x14ac:dyDescent="0.25">
      <c r="A23" s="206" t="s">
        <v>325</v>
      </c>
      <c r="B23" s="216"/>
      <c r="C23" s="217"/>
      <c r="D23" s="54">
        <f>$B22/D$10</f>
        <v>4.1999999999999996E-2</v>
      </c>
      <c r="E23" s="54">
        <f t="shared" ref="E23" si="10">$B22/E$10</f>
        <v>8.3999999999999991E-2</v>
      </c>
      <c r="F23" s="54">
        <f t="shared" ref="F23" si="11">$B22/F$10</f>
        <v>0.16799999999999998</v>
      </c>
      <c r="G23" s="211">
        <f t="shared" ref="G23" si="12">$B22/G$10</f>
        <v>0.33599999999999997</v>
      </c>
      <c r="H23" s="54">
        <f t="shared" ref="H23" si="13">$B22/H$10</f>
        <v>0.67199999999999993</v>
      </c>
      <c r="I23" s="54">
        <f t="shared" ref="I23" si="14">$B22/I$10</f>
        <v>1.3439999999999999</v>
      </c>
      <c r="J23" s="54">
        <f t="shared" ref="J23" si="15">$B22/J$10</f>
        <v>2.6879999999999997</v>
      </c>
    </row>
    <row r="24" spans="1:10" x14ac:dyDescent="0.25">
      <c r="A24" s="206" t="s">
        <v>326</v>
      </c>
      <c r="B24" s="216"/>
      <c r="C24" s="217"/>
      <c r="D24" s="54">
        <f>D23*$B$10</f>
        <v>1.89</v>
      </c>
      <c r="E24" s="54">
        <f t="shared" ref="E24" si="16">E23*$B$10</f>
        <v>3.78</v>
      </c>
      <c r="F24" s="54">
        <f t="shared" ref="F24" si="17">F23*$B$10</f>
        <v>7.56</v>
      </c>
      <c r="G24" s="211">
        <f t="shared" ref="G24" si="18">G23*$B$10</f>
        <v>15.12</v>
      </c>
      <c r="H24" s="54">
        <f t="shared" ref="H24" si="19">H23*$B$10</f>
        <v>30.24</v>
      </c>
      <c r="I24" s="54">
        <f t="shared" ref="I24" si="20">I23*$B$10</f>
        <v>60.48</v>
      </c>
      <c r="J24" s="54">
        <f t="shared" ref="J24" si="21">J23*$B$10</f>
        <v>120.96</v>
      </c>
    </row>
    <row r="25" spans="1:10" ht="33" x14ac:dyDescent="0.25">
      <c r="A25" s="5" t="s">
        <v>327</v>
      </c>
      <c r="B25" s="217"/>
      <c r="C25" s="217"/>
      <c r="D25" s="61">
        <f>D26*D10</f>
        <v>500</v>
      </c>
      <c r="E25" s="61">
        <f t="shared" ref="E25:J25" si="22">E26*E10</f>
        <v>250</v>
      </c>
      <c r="F25" s="61">
        <f t="shared" si="22"/>
        <v>125</v>
      </c>
      <c r="G25" s="211">
        <f t="shared" si="22"/>
        <v>62.5</v>
      </c>
      <c r="H25" s="61">
        <f t="shared" si="22"/>
        <v>31.25</v>
      </c>
      <c r="I25" s="61">
        <f t="shared" si="22"/>
        <v>15.625</v>
      </c>
      <c r="J25" s="61">
        <f t="shared" si="22"/>
        <v>7.8125</v>
      </c>
    </row>
    <row r="26" spans="1:10" ht="31.5" customHeight="1" x14ac:dyDescent="0.25">
      <c r="A26" s="5" t="s">
        <v>328</v>
      </c>
      <c r="B26" s="217"/>
      <c r="C26" s="217"/>
      <c r="D26" s="224">
        <f>ROUNDUP(2*C12+G20,0)</f>
        <v>7</v>
      </c>
      <c r="E26" s="208">
        <f>D26</f>
        <v>7</v>
      </c>
      <c r="F26" s="208">
        <f t="shared" ref="F26:J26" si="23">E26</f>
        <v>7</v>
      </c>
      <c r="G26" s="225">
        <f t="shared" si="23"/>
        <v>7</v>
      </c>
      <c r="H26" s="208">
        <f t="shared" si="23"/>
        <v>7</v>
      </c>
      <c r="I26" s="208">
        <f t="shared" si="23"/>
        <v>7</v>
      </c>
      <c r="J26" s="208">
        <f t="shared" si="23"/>
        <v>7</v>
      </c>
    </row>
    <row r="27" spans="1:10" ht="31.5" customHeight="1" x14ac:dyDescent="0.25">
      <c r="A27" s="5" t="s">
        <v>329</v>
      </c>
      <c r="B27" s="217"/>
      <c r="C27" s="217"/>
      <c r="D27" s="54">
        <f>D26*$B$10</f>
        <v>315</v>
      </c>
      <c r="E27" s="54">
        <f t="shared" ref="E27:J27" si="24">E26*$B$10</f>
        <v>315</v>
      </c>
      <c r="F27" s="54">
        <f t="shared" si="24"/>
        <v>315</v>
      </c>
      <c r="G27" s="225">
        <f t="shared" si="24"/>
        <v>315</v>
      </c>
      <c r="H27" s="54">
        <f t="shared" si="24"/>
        <v>315</v>
      </c>
      <c r="I27" s="54">
        <f t="shared" si="24"/>
        <v>315</v>
      </c>
      <c r="J27" s="54">
        <f t="shared" si="24"/>
        <v>315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4BF24-3499-4502-A017-CFB287A21810}">
  <dimension ref="A1:BR69"/>
  <sheetViews>
    <sheetView topLeftCell="A55" workbookViewId="0">
      <selection activeCell="E21" sqref="E21"/>
    </sheetView>
  </sheetViews>
  <sheetFormatPr baseColWidth="10" defaultColWidth="11.42578125" defaultRowHeight="15" x14ac:dyDescent="0.25"/>
  <cols>
    <col min="1" max="1" width="8.42578125" style="33" customWidth="1"/>
    <col min="2" max="2" width="11.42578125" style="33"/>
    <col min="3" max="3" width="13.85546875" style="33" customWidth="1"/>
    <col min="4" max="4" width="11.42578125" style="33"/>
    <col min="5" max="5" width="21.140625" style="33" customWidth="1"/>
    <col min="6" max="6" width="7.5703125" style="33" customWidth="1"/>
    <col min="7" max="29" width="6" style="33" customWidth="1"/>
    <col min="30" max="30" width="8.7109375" style="33" customWidth="1"/>
    <col min="31" max="38" width="5.28515625" style="33" customWidth="1"/>
    <col min="39" max="54" width="5.85546875" style="33" customWidth="1"/>
    <col min="55" max="69" width="5.7109375" style="33" customWidth="1"/>
    <col min="70" max="16384" width="11.42578125" style="33"/>
  </cols>
  <sheetData>
    <row r="1" spans="1:47" ht="18.75" x14ac:dyDescent="0.25">
      <c r="A1" s="8" t="s">
        <v>219</v>
      </c>
    </row>
    <row r="4" spans="1:47" x14ac:dyDescent="0.25">
      <c r="A4" s="152" t="s">
        <v>215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</row>
    <row r="5" spans="1:47" ht="15.75" thickBot="1" x14ac:dyDescent="0.3"/>
    <row r="6" spans="1:47" ht="29.25" customHeight="1" thickBot="1" x14ac:dyDescent="0.3">
      <c r="F6" s="242" t="s">
        <v>216</v>
      </c>
      <c r="G6" s="243"/>
      <c r="H6" s="243"/>
      <c r="I6" s="243"/>
      <c r="J6" s="243"/>
      <c r="K6" s="243"/>
      <c r="L6" s="243"/>
      <c r="M6" s="244"/>
      <c r="N6" s="242" t="s">
        <v>217</v>
      </c>
      <c r="O6" s="243"/>
      <c r="P6" s="243"/>
      <c r="Q6" s="243"/>
      <c r="R6" s="243"/>
      <c r="S6" s="243"/>
      <c r="T6" s="243"/>
      <c r="U6" s="244"/>
      <c r="V6" s="181"/>
      <c r="W6" s="181"/>
      <c r="X6" s="181"/>
      <c r="Y6" s="181"/>
      <c r="Z6" s="181"/>
      <c r="AA6" s="181"/>
      <c r="AB6" s="181"/>
      <c r="AC6" s="181"/>
    </row>
    <row r="7" spans="1:47" ht="15.75" thickBot="1" x14ac:dyDescent="0.3">
      <c r="F7" s="239">
        <v>0</v>
      </c>
      <c r="G7" s="240"/>
      <c r="H7" s="240"/>
      <c r="I7" s="240"/>
      <c r="J7" s="240"/>
      <c r="K7" s="240"/>
      <c r="L7" s="240"/>
      <c r="M7" s="241"/>
      <c r="N7" s="233">
        <v>1</v>
      </c>
      <c r="O7" s="234"/>
      <c r="P7" s="234"/>
      <c r="Q7" s="234"/>
      <c r="R7" s="234"/>
      <c r="S7" s="234"/>
      <c r="T7" s="234"/>
      <c r="U7" s="235"/>
      <c r="V7" s="33" t="s">
        <v>212</v>
      </c>
      <c r="W7" s="154"/>
      <c r="X7" s="154"/>
      <c r="Y7" s="154"/>
      <c r="Z7" s="154"/>
      <c r="AA7" s="154"/>
      <c r="AB7" s="154"/>
      <c r="AC7" s="154"/>
    </row>
    <row r="8" spans="1:47" ht="15.75" thickBot="1" x14ac:dyDescent="0.3">
      <c r="A8" s="33" t="s">
        <v>214</v>
      </c>
      <c r="C8" s="165"/>
      <c r="F8" s="138">
        <v>0</v>
      </c>
      <c r="G8" s="139">
        <v>1</v>
      </c>
      <c r="H8" s="139">
        <v>2</v>
      </c>
      <c r="I8" s="139">
        <v>3</v>
      </c>
      <c r="J8" s="139">
        <v>4</v>
      </c>
      <c r="K8" s="139">
        <v>5</v>
      </c>
      <c r="L8" s="139">
        <v>6</v>
      </c>
      <c r="M8" s="140">
        <v>7</v>
      </c>
      <c r="N8" s="138">
        <v>0</v>
      </c>
      <c r="O8" s="139">
        <v>1</v>
      </c>
      <c r="P8" s="139">
        <v>2</v>
      </c>
      <c r="Q8" s="139">
        <v>3</v>
      </c>
      <c r="R8" s="139">
        <v>4</v>
      </c>
      <c r="S8" s="139">
        <v>5</v>
      </c>
      <c r="T8" s="139">
        <v>6</v>
      </c>
      <c r="U8" s="140">
        <v>7</v>
      </c>
      <c r="V8" s="33" t="s">
        <v>204</v>
      </c>
      <c r="W8" s="154"/>
      <c r="X8" s="154"/>
      <c r="Y8" s="154"/>
      <c r="Z8" s="154"/>
      <c r="AA8" s="154"/>
      <c r="AB8" s="154"/>
      <c r="AC8" s="154"/>
    </row>
    <row r="9" spans="1:47" x14ac:dyDescent="0.25">
      <c r="A9" s="33" t="s">
        <v>207</v>
      </c>
      <c r="F9" s="172">
        <v>2</v>
      </c>
      <c r="G9" s="173">
        <v>8</v>
      </c>
      <c r="H9" s="173">
        <v>16</v>
      </c>
      <c r="I9" s="173">
        <v>22</v>
      </c>
      <c r="J9" s="173">
        <v>30</v>
      </c>
      <c r="K9" s="173">
        <v>36</v>
      </c>
      <c r="L9" s="173">
        <v>44</v>
      </c>
      <c r="M9" s="174">
        <v>50</v>
      </c>
      <c r="N9" s="172">
        <v>2</v>
      </c>
      <c r="O9" s="173">
        <v>8</v>
      </c>
      <c r="P9" s="173">
        <v>16</v>
      </c>
      <c r="Q9" s="173">
        <v>20</v>
      </c>
      <c r="R9" s="173">
        <v>32</v>
      </c>
      <c r="S9" s="173">
        <v>36</v>
      </c>
      <c r="T9" s="173">
        <v>44</v>
      </c>
      <c r="U9" s="174">
        <v>48</v>
      </c>
      <c r="V9" s="155"/>
      <c r="W9" s="96"/>
      <c r="X9" s="96"/>
      <c r="Y9" s="96"/>
      <c r="Z9" s="96"/>
      <c r="AA9" s="96"/>
      <c r="AB9" s="96"/>
      <c r="AC9" s="96"/>
    </row>
    <row r="10" spans="1:47" x14ac:dyDescent="0.25">
      <c r="A10" s="33" t="s">
        <v>210</v>
      </c>
      <c r="F10" s="170">
        <f>F9</f>
        <v>2</v>
      </c>
      <c r="G10" s="93">
        <f t="shared" ref="G10:I10" si="0">G9</f>
        <v>8</v>
      </c>
      <c r="H10" s="93">
        <f t="shared" si="0"/>
        <v>16</v>
      </c>
      <c r="I10" s="93">
        <f t="shared" si="0"/>
        <v>22</v>
      </c>
      <c r="J10" s="93">
        <f t="shared" ref="J10" si="1">J9</f>
        <v>30</v>
      </c>
      <c r="K10" s="93">
        <f t="shared" ref="K10" si="2">K9</f>
        <v>36</v>
      </c>
      <c r="L10" s="93">
        <f t="shared" ref="L10" si="3">L9</f>
        <v>44</v>
      </c>
      <c r="M10" s="171">
        <f t="shared" ref="M10" si="4">M9</f>
        <v>50</v>
      </c>
      <c r="N10" s="170">
        <f>N9</f>
        <v>2</v>
      </c>
      <c r="O10" s="93">
        <f t="shared" ref="O10" si="5">O9</f>
        <v>8</v>
      </c>
      <c r="P10" s="93">
        <f t="shared" ref="P10" si="6">P9</f>
        <v>16</v>
      </c>
      <c r="Q10" s="93">
        <f t="shared" ref="Q10" si="7">Q9</f>
        <v>20</v>
      </c>
      <c r="R10" s="93">
        <f t="shared" ref="R10" si="8">R9</f>
        <v>32</v>
      </c>
      <c r="S10" s="93">
        <f t="shared" ref="S10" si="9">S9</f>
        <v>36</v>
      </c>
      <c r="T10" s="93">
        <f t="shared" ref="T10" si="10">T9</f>
        <v>44</v>
      </c>
      <c r="U10" s="171">
        <f t="shared" ref="U10" si="11">U9</f>
        <v>48</v>
      </c>
      <c r="V10" s="155"/>
      <c r="W10" s="97"/>
      <c r="X10" s="97"/>
      <c r="Y10" s="97"/>
      <c r="Z10" s="97"/>
      <c r="AA10" s="97"/>
      <c r="AB10" s="97"/>
      <c r="AC10" s="97"/>
    </row>
    <row r="11" spans="1:47" ht="15.75" thickBot="1" x14ac:dyDescent="0.3">
      <c r="A11" s="33" t="s">
        <v>211</v>
      </c>
      <c r="F11" s="162">
        <f>5*14*2^$F$7+F9</f>
        <v>72</v>
      </c>
      <c r="G11" s="163">
        <f t="shared" ref="G11:I11" si="12">5*14*2^$F$7+G9</f>
        <v>78</v>
      </c>
      <c r="H11" s="163">
        <f t="shared" si="12"/>
        <v>86</v>
      </c>
      <c r="I11" s="163">
        <f t="shared" si="12"/>
        <v>92</v>
      </c>
      <c r="J11" s="163">
        <f>5*14*2^$F$7+J9</f>
        <v>100</v>
      </c>
      <c r="K11" s="163">
        <f t="shared" ref="K11:M11" si="13">5*14*2^$F$7+K9</f>
        <v>106</v>
      </c>
      <c r="L11" s="163">
        <f t="shared" si="13"/>
        <v>114</v>
      </c>
      <c r="M11" s="164">
        <f t="shared" si="13"/>
        <v>120</v>
      </c>
      <c r="N11" s="162">
        <f>5*14*2^$F$7+N9</f>
        <v>72</v>
      </c>
      <c r="O11" s="163">
        <f t="shared" ref="O11:Q11" si="14">5*14*2^$F$7+O9</f>
        <v>78</v>
      </c>
      <c r="P11" s="163">
        <f t="shared" si="14"/>
        <v>86</v>
      </c>
      <c r="Q11" s="163">
        <f t="shared" si="14"/>
        <v>90</v>
      </c>
      <c r="R11" s="163">
        <f>5*14*2^$F$7+R9</f>
        <v>102</v>
      </c>
      <c r="S11" s="163">
        <f t="shared" ref="S11:U11" si="15">5*14*2^$F$7+S9</f>
        <v>106</v>
      </c>
      <c r="T11" s="163">
        <f t="shared" si="15"/>
        <v>114</v>
      </c>
      <c r="U11" s="164">
        <f t="shared" si="15"/>
        <v>118</v>
      </c>
      <c r="V11" s="155"/>
      <c r="W11" s="97"/>
      <c r="X11" s="97"/>
      <c r="Y11" s="97"/>
      <c r="Z11" s="97"/>
      <c r="AA11" s="97"/>
      <c r="AB11" s="97"/>
      <c r="AC11" s="97"/>
    </row>
    <row r="12" spans="1:47" ht="30.75" customHeight="1" thickBot="1" x14ac:dyDescent="0.3">
      <c r="F12" s="97"/>
      <c r="G12" s="97"/>
      <c r="H12" s="97"/>
      <c r="I12" s="97"/>
      <c r="J12" s="97"/>
      <c r="K12" s="97"/>
      <c r="L12" s="97"/>
      <c r="M12" s="97"/>
      <c r="N12" s="242" t="s">
        <v>218</v>
      </c>
      <c r="O12" s="243"/>
      <c r="P12" s="243"/>
      <c r="Q12" s="243"/>
      <c r="R12" s="243"/>
      <c r="S12" s="243"/>
      <c r="T12" s="243"/>
      <c r="U12" s="244"/>
      <c r="V12" s="155"/>
      <c r="W12" s="181"/>
      <c r="X12" s="181"/>
      <c r="Y12" s="181"/>
      <c r="Z12" s="181"/>
      <c r="AA12" s="181"/>
      <c r="AB12" s="181"/>
      <c r="AC12" s="181"/>
    </row>
    <row r="13" spans="1:47" ht="15.75" thickBot="1" x14ac:dyDescent="0.3">
      <c r="F13" s="97"/>
      <c r="G13" s="97"/>
      <c r="H13" s="97"/>
      <c r="I13" s="97"/>
      <c r="J13" s="97"/>
      <c r="K13" s="97"/>
      <c r="L13" s="97"/>
      <c r="M13" s="97"/>
      <c r="N13" s="233">
        <v>1</v>
      </c>
      <c r="O13" s="234"/>
      <c r="P13" s="234"/>
      <c r="Q13" s="234"/>
      <c r="R13" s="234"/>
      <c r="S13" s="234"/>
      <c r="T13" s="234"/>
      <c r="U13" s="235"/>
      <c r="V13" s="33" t="s">
        <v>212</v>
      </c>
      <c r="W13" s="154"/>
      <c r="X13" s="154"/>
      <c r="Y13" s="154"/>
      <c r="Z13" s="154"/>
      <c r="AA13" s="154"/>
      <c r="AB13" s="154"/>
      <c r="AC13" s="154"/>
    </row>
    <row r="14" spans="1:47" ht="15.75" thickBot="1" x14ac:dyDescent="0.3">
      <c r="A14" s="33" t="s">
        <v>214</v>
      </c>
      <c r="F14" s="97"/>
      <c r="G14" s="97"/>
      <c r="H14" s="97"/>
      <c r="I14" s="97"/>
      <c r="J14" s="97"/>
      <c r="K14" s="97"/>
      <c r="L14" s="97"/>
      <c r="M14" s="97"/>
      <c r="N14" s="138">
        <v>0</v>
      </c>
      <c r="O14" s="139">
        <v>1</v>
      </c>
      <c r="P14" s="139">
        <v>2</v>
      </c>
      <c r="Q14" s="139">
        <v>3</v>
      </c>
      <c r="R14" s="139">
        <v>4</v>
      </c>
      <c r="S14" s="139">
        <v>5</v>
      </c>
      <c r="T14" s="139">
        <v>6</v>
      </c>
      <c r="U14" s="140">
        <v>7</v>
      </c>
      <c r="V14" s="33" t="s">
        <v>204</v>
      </c>
      <c r="W14" s="154"/>
      <c r="X14" s="154"/>
      <c r="Y14" s="154"/>
      <c r="Z14" s="154"/>
      <c r="AA14" s="154"/>
      <c r="AB14" s="154"/>
      <c r="AC14" s="154"/>
    </row>
    <row r="15" spans="1:47" ht="15.75" x14ac:dyDescent="0.25">
      <c r="A15" s="33" t="s">
        <v>207</v>
      </c>
      <c r="F15" s="175"/>
      <c r="G15" s="97"/>
      <c r="H15" s="97"/>
      <c r="I15" s="97"/>
      <c r="J15" s="97"/>
      <c r="K15" s="97"/>
      <c r="L15" s="97"/>
      <c r="M15" s="97"/>
      <c r="N15" s="172">
        <v>2</v>
      </c>
      <c r="O15" s="173">
        <v>8</v>
      </c>
      <c r="P15" s="173">
        <v>16</v>
      </c>
      <c r="Q15" s="173">
        <v>22</v>
      </c>
      <c r="R15" s="173">
        <v>30</v>
      </c>
      <c r="S15" s="173">
        <v>36</v>
      </c>
      <c r="T15" s="173">
        <v>44</v>
      </c>
      <c r="U15" s="174">
        <v>50</v>
      </c>
      <c r="V15" s="96"/>
      <c r="W15" s="96"/>
      <c r="X15" s="96"/>
      <c r="Y15" s="96"/>
      <c r="Z15" s="96"/>
      <c r="AA15" s="96"/>
      <c r="AB15" s="96"/>
      <c r="AC15" s="96"/>
    </row>
    <row r="16" spans="1:47" x14ac:dyDescent="0.25">
      <c r="A16" s="33" t="s">
        <v>210</v>
      </c>
      <c r="F16" s="97"/>
      <c r="G16" s="97"/>
      <c r="H16" s="97"/>
      <c r="I16" s="97"/>
      <c r="J16" s="97"/>
      <c r="K16" s="97"/>
      <c r="L16" s="97"/>
      <c r="M16" s="97"/>
      <c r="N16" s="170">
        <f>N15</f>
        <v>2</v>
      </c>
      <c r="O16" s="93">
        <f t="shared" ref="O16" si="16">O15</f>
        <v>8</v>
      </c>
      <c r="P16" s="93">
        <f t="shared" ref="P16" si="17">P15</f>
        <v>16</v>
      </c>
      <c r="Q16" s="93">
        <f t="shared" ref="Q16" si="18">Q15</f>
        <v>22</v>
      </c>
      <c r="R16" s="93">
        <f t="shared" ref="R16" si="19">R15</f>
        <v>30</v>
      </c>
      <c r="S16" s="93">
        <f t="shared" ref="S16" si="20">S15</f>
        <v>36</v>
      </c>
      <c r="T16" s="93">
        <f t="shared" ref="T16" si="21">T15</f>
        <v>44</v>
      </c>
      <c r="U16" s="171">
        <f t="shared" ref="U16" si="22">U15</f>
        <v>50</v>
      </c>
      <c r="V16" s="97"/>
      <c r="W16" s="97"/>
      <c r="X16" s="97"/>
      <c r="Y16" s="97"/>
      <c r="Z16" s="97"/>
      <c r="AA16" s="97"/>
      <c r="AB16" s="97"/>
      <c r="AC16" s="97"/>
    </row>
    <row r="17" spans="1:55" ht="15.75" thickBot="1" x14ac:dyDescent="0.3">
      <c r="A17" s="33" t="s">
        <v>211</v>
      </c>
      <c r="F17" s="97"/>
      <c r="G17" s="97"/>
      <c r="H17" s="97"/>
      <c r="I17" s="97"/>
      <c r="J17" s="97"/>
      <c r="K17" s="97"/>
      <c r="L17" s="97"/>
      <c r="M17" s="97"/>
      <c r="N17" s="162">
        <f>5*14*2^$F$7+N15</f>
        <v>72</v>
      </c>
      <c r="O17" s="163">
        <f t="shared" ref="O17:Q17" si="23">5*14*2^$F$7+O15</f>
        <v>78</v>
      </c>
      <c r="P17" s="163">
        <f t="shared" si="23"/>
        <v>86</v>
      </c>
      <c r="Q17" s="163">
        <f t="shared" si="23"/>
        <v>92</v>
      </c>
      <c r="R17" s="163">
        <f>5*14*2^$F$7+R15</f>
        <v>100</v>
      </c>
      <c r="S17" s="163">
        <f t="shared" ref="S17:U17" si="24">5*14*2^$F$7+S15</f>
        <v>106</v>
      </c>
      <c r="T17" s="163">
        <f t="shared" si="24"/>
        <v>114</v>
      </c>
      <c r="U17" s="164">
        <f t="shared" si="24"/>
        <v>120</v>
      </c>
      <c r="V17" s="97"/>
      <c r="W17" s="97"/>
      <c r="X17" s="97"/>
      <c r="Y17" s="97"/>
      <c r="Z17" s="97"/>
      <c r="AA17" s="97"/>
      <c r="AB17" s="97"/>
      <c r="AC17" s="97"/>
    </row>
    <row r="18" spans="1:55" x14ac:dyDescent="0.25"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</row>
    <row r="19" spans="1:55" x14ac:dyDescent="0.25">
      <c r="A19" s="152" t="s">
        <v>223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</row>
    <row r="20" spans="1:55" x14ac:dyDescent="0.25"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</row>
    <row r="21" spans="1:55" ht="45" x14ac:dyDescent="0.25">
      <c r="A21" s="35" t="s">
        <v>200</v>
      </c>
      <c r="B21" s="35" t="s">
        <v>225</v>
      </c>
      <c r="C21" s="186" t="s">
        <v>224</v>
      </c>
      <c r="D21" s="35" t="s">
        <v>202</v>
      </c>
      <c r="E21" s="2" t="s">
        <v>227</v>
      </c>
      <c r="F21" s="2" t="s">
        <v>226</v>
      </c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</row>
    <row r="22" spans="1:55" x14ac:dyDescent="0.25">
      <c r="A22" s="187">
        <v>2.5</v>
      </c>
      <c r="B22" s="187">
        <v>3</v>
      </c>
      <c r="C22" s="187">
        <v>7</v>
      </c>
      <c r="D22" s="187">
        <v>0.5</v>
      </c>
      <c r="E22" s="54">
        <f>MOD(A22*2*B22+INT(C22*D22),10*2^B22)</f>
        <v>18</v>
      </c>
      <c r="F22" s="54">
        <f>INT((A22*2*B22+INT(C22*D22))/(10*2^B22))</f>
        <v>0</v>
      </c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</row>
    <row r="23" spans="1:55" x14ac:dyDescent="0.25"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</row>
    <row r="24" spans="1:55" x14ac:dyDescent="0.25"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</row>
    <row r="25" spans="1:55" x14ac:dyDescent="0.25"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</row>
    <row r="27" spans="1:55" x14ac:dyDescent="0.25">
      <c r="A27" s="152" t="s">
        <v>220</v>
      </c>
      <c r="B27" s="153"/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</row>
    <row r="29" spans="1:55" ht="15.75" thickBot="1" x14ac:dyDescent="0.3">
      <c r="A29" s="184" t="s">
        <v>221</v>
      </c>
      <c r="B29" s="185"/>
      <c r="C29" s="185"/>
      <c r="D29" s="185"/>
      <c r="E29" s="185"/>
      <c r="F29" s="185"/>
    </row>
    <row r="30" spans="1:55" ht="15.75" thickBot="1" x14ac:dyDescent="0.3">
      <c r="A30" s="159" t="s">
        <v>209</v>
      </c>
      <c r="B30" s="160"/>
      <c r="C30" s="161">
        <v>3</v>
      </c>
      <c r="F30" s="233" t="s">
        <v>208</v>
      </c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234"/>
      <c r="W30" s="234"/>
      <c r="X30" s="234"/>
      <c r="Y30" s="234"/>
      <c r="Z30" s="234"/>
      <c r="AA30" s="234"/>
      <c r="AB30" s="234"/>
      <c r="AC30" s="235"/>
      <c r="AE30" s="233" t="s">
        <v>205</v>
      </c>
      <c r="AF30" s="234"/>
      <c r="AG30" s="234"/>
      <c r="AH30" s="234"/>
      <c r="AI30" s="234"/>
      <c r="AJ30" s="234"/>
      <c r="AK30" s="234"/>
      <c r="AL30" s="234"/>
      <c r="AM30" s="234"/>
      <c r="AN30" s="234"/>
      <c r="AO30" s="234"/>
      <c r="AP30" s="234"/>
      <c r="AQ30" s="234"/>
      <c r="AR30" s="234"/>
      <c r="AS30" s="234"/>
      <c r="AT30" s="234"/>
      <c r="AU30" s="234"/>
      <c r="AV30" s="234"/>
      <c r="AW30" s="234"/>
      <c r="AX30" s="234"/>
      <c r="AY30" s="234"/>
      <c r="AZ30" s="234"/>
      <c r="BA30" s="234"/>
      <c r="BB30" s="235"/>
    </row>
    <row r="31" spans="1:55" ht="15.75" thickBot="1" x14ac:dyDescent="0.3">
      <c r="F31" s="236">
        <v>0</v>
      </c>
      <c r="G31" s="237"/>
      <c r="H31" s="237"/>
      <c r="I31" s="237"/>
      <c r="J31" s="237"/>
      <c r="K31" s="237"/>
      <c r="L31" s="237"/>
      <c r="M31" s="238"/>
      <c r="N31" s="236">
        <v>1</v>
      </c>
      <c r="O31" s="237"/>
      <c r="P31" s="237"/>
      <c r="Q31" s="237"/>
      <c r="R31" s="237"/>
      <c r="S31" s="237"/>
      <c r="T31" s="237"/>
      <c r="U31" s="238"/>
      <c r="V31" s="233">
        <v>2</v>
      </c>
      <c r="W31" s="234"/>
      <c r="X31" s="234"/>
      <c r="Y31" s="234"/>
      <c r="Z31" s="234"/>
      <c r="AA31" s="234"/>
      <c r="AB31" s="234"/>
      <c r="AC31" s="235"/>
      <c r="AD31" s="33" t="s">
        <v>213</v>
      </c>
      <c r="AE31" s="233">
        <v>0</v>
      </c>
      <c r="AF31" s="234"/>
      <c r="AG31" s="234"/>
      <c r="AH31" s="234"/>
      <c r="AI31" s="234"/>
      <c r="AJ31" s="234"/>
      <c r="AK31" s="234"/>
      <c r="AL31" s="235"/>
      <c r="AM31" s="233">
        <v>1</v>
      </c>
      <c r="AN31" s="234"/>
      <c r="AO31" s="234"/>
      <c r="AP31" s="234"/>
      <c r="AQ31" s="234"/>
      <c r="AR31" s="234"/>
      <c r="AS31" s="234"/>
      <c r="AT31" s="235"/>
      <c r="AU31" s="233">
        <v>2</v>
      </c>
      <c r="AV31" s="234"/>
      <c r="AW31" s="234"/>
      <c r="AX31" s="234"/>
      <c r="AY31" s="234"/>
      <c r="AZ31" s="234"/>
      <c r="BA31" s="234"/>
      <c r="BB31" s="235"/>
      <c r="BC31" s="33" t="s">
        <v>213</v>
      </c>
    </row>
    <row r="32" spans="1:55" ht="45.75" thickBot="1" x14ac:dyDescent="0.3">
      <c r="A32" s="149" t="s">
        <v>199</v>
      </c>
      <c r="B32" s="150" t="s">
        <v>200</v>
      </c>
      <c r="C32" s="150" t="s">
        <v>201</v>
      </c>
      <c r="D32" s="150" t="s">
        <v>202</v>
      </c>
      <c r="E32" s="151" t="s">
        <v>206</v>
      </c>
      <c r="F32" s="138">
        <v>0</v>
      </c>
      <c r="G32" s="139">
        <v>1</v>
      </c>
      <c r="H32" s="139">
        <v>2</v>
      </c>
      <c r="I32" s="139">
        <v>3</v>
      </c>
      <c r="J32" s="139">
        <v>4</v>
      </c>
      <c r="K32" s="139">
        <v>5</v>
      </c>
      <c r="L32" s="139">
        <v>6</v>
      </c>
      <c r="M32" s="140">
        <v>7</v>
      </c>
      <c r="N32" s="156">
        <v>0</v>
      </c>
      <c r="O32" s="157">
        <v>1</v>
      </c>
      <c r="P32" s="157">
        <v>2</v>
      </c>
      <c r="Q32" s="157">
        <v>3</v>
      </c>
      <c r="R32" s="157">
        <v>4</v>
      </c>
      <c r="S32" s="157">
        <v>5</v>
      </c>
      <c r="T32" s="157">
        <v>6</v>
      </c>
      <c r="U32" s="158">
        <v>7</v>
      </c>
      <c r="V32" s="138">
        <v>0</v>
      </c>
      <c r="W32" s="139">
        <v>1</v>
      </c>
      <c r="X32" s="139">
        <v>2</v>
      </c>
      <c r="Y32" s="139">
        <v>3</v>
      </c>
      <c r="Z32" s="139">
        <v>4</v>
      </c>
      <c r="AA32" s="139">
        <v>5</v>
      </c>
      <c r="AB32" s="139">
        <v>6</v>
      </c>
      <c r="AC32" s="140">
        <v>7</v>
      </c>
      <c r="AD32" s="33" t="s">
        <v>204</v>
      </c>
      <c r="AE32" s="156">
        <v>0</v>
      </c>
      <c r="AF32" s="157">
        <v>1</v>
      </c>
      <c r="AG32" s="157">
        <v>2</v>
      </c>
      <c r="AH32" s="157">
        <v>3</v>
      </c>
      <c r="AI32" s="157">
        <v>4</v>
      </c>
      <c r="AJ32" s="157">
        <v>5</v>
      </c>
      <c r="AK32" s="157">
        <v>6</v>
      </c>
      <c r="AL32" s="158">
        <v>7</v>
      </c>
      <c r="AM32" s="138">
        <v>0</v>
      </c>
      <c r="AN32" s="139">
        <v>1</v>
      </c>
      <c r="AO32" s="139">
        <v>2</v>
      </c>
      <c r="AP32" s="139">
        <v>3</v>
      </c>
      <c r="AQ32" s="139">
        <v>4</v>
      </c>
      <c r="AR32" s="139">
        <v>5</v>
      </c>
      <c r="AS32" s="139">
        <v>6</v>
      </c>
      <c r="AT32" s="140">
        <v>7</v>
      </c>
      <c r="AU32" s="138">
        <v>0</v>
      </c>
      <c r="AV32" s="139">
        <v>1</v>
      </c>
      <c r="AW32" s="139">
        <v>2</v>
      </c>
      <c r="AX32" s="139">
        <v>3</v>
      </c>
      <c r="AY32" s="139">
        <v>4</v>
      </c>
      <c r="AZ32" s="139">
        <v>5</v>
      </c>
      <c r="BA32" s="139">
        <v>6</v>
      </c>
      <c r="BB32" s="140">
        <v>7</v>
      </c>
      <c r="BC32" s="33" t="s">
        <v>204</v>
      </c>
    </row>
    <row r="33" spans="1:54" x14ac:dyDescent="0.25">
      <c r="A33" s="147">
        <v>0</v>
      </c>
      <c r="B33" s="148">
        <v>0</v>
      </c>
      <c r="C33" s="148">
        <v>1</v>
      </c>
      <c r="D33" s="148">
        <v>1</v>
      </c>
      <c r="E33" s="176">
        <v>0</v>
      </c>
      <c r="F33" s="135">
        <f t="shared" ref="F33:F48" si="25">14*MOD($B33*2^$F$31+INT(F$32*$D33),10*2^$F$31)+IF(ISNUMBER($E33),$E33,IF(ISEVEN(F$32),0,$C$30))</f>
        <v>0</v>
      </c>
      <c r="G33" s="136">
        <f t="shared" ref="G33:M48" si="26">14*MOD($B33*2^$F$31+INT(G$32*$D33),10*2^$F$31)+IF(ISNUMBER($E33),$E33,IF(ISEVEN(G$32),0,$C$30))</f>
        <v>14</v>
      </c>
      <c r="H33" s="136">
        <f t="shared" si="26"/>
        <v>28</v>
      </c>
      <c r="I33" s="136">
        <f t="shared" si="26"/>
        <v>42</v>
      </c>
      <c r="J33" s="136">
        <f t="shared" si="26"/>
        <v>56</v>
      </c>
      <c r="K33" s="136">
        <f t="shared" si="26"/>
        <v>70</v>
      </c>
      <c r="L33" s="136">
        <f t="shared" si="26"/>
        <v>84</v>
      </c>
      <c r="M33" s="182">
        <f t="shared" si="26"/>
        <v>98</v>
      </c>
      <c r="N33" s="178">
        <f>14*MOD($B33*2^$N$31+INT(N$32*$D33),10*2^$N$31)+IF(ISNUMBER($E33),$E33,IF(ISEVEN(N$32),0,$C$30))</f>
        <v>0</v>
      </c>
      <c r="O33" s="179">
        <f t="shared" ref="O33:U48" si="27">14*MOD($B33*2^$N$31+INT(O$32*$D33),10*2^$N$31)+IF(ISNUMBER($E33),$E33,IF(ISEVEN(O$32),0,$C$30))</f>
        <v>14</v>
      </c>
      <c r="P33" s="179">
        <f t="shared" si="27"/>
        <v>28</v>
      </c>
      <c r="Q33" s="179">
        <f t="shared" si="27"/>
        <v>42</v>
      </c>
      <c r="R33" s="179">
        <f t="shared" si="27"/>
        <v>56</v>
      </c>
      <c r="S33" s="179">
        <f t="shared" si="27"/>
        <v>70</v>
      </c>
      <c r="T33" s="179">
        <f t="shared" si="27"/>
        <v>84</v>
      </c>
      <c r="U33" s="180">
        <f t="shared" si="27"/>
        <v>98</v>
      </c>
      <c r="V33" s="178">
        <f>14*MOD($B33*2^$V$31+INT(V$32*$D33),10*2^$V$31)+IF(ISNUMBER($E33),$E33,IF(ISEVEN(V$32),0,$C$30))</f>
        <v>0</v>
      </c>
      <c r="W33" s="179">
        <f t="shared" ref="W33:AC48" si="28">14*MOD($B33*2^$V$31+INT(W$32*$D33),10*2^$V$31)+IF(ISNUMBER($E33),$E33,IF(ISEVEN(W$32),0,$C$30))</f>
        <v>14</v>
      </c>
      <c r="X33" s="179">
        <f t="shared" si="28"/>
        <v>28</v>
      </c>
      <c r="Y33" s="179">
        <f t="shared" si="28"/>
        <v>42</v>
      </c>
      <c r="Z33" s="179">
        <f t="shared" si="28"/>
        <v>56</v>
      </c>
      <c r="AA33" s="179">
        <f t="shared" si="28"/>
        <v>70</v>
      </c>
      <c r="AB33" s="179">
        <f t="shared" si="28"/>
        <v>84</v>
      </c>
      <c r="AC33" s="180">
        <f t="shared" si="28"/>
        <v>98</v>
      </c>
      <c r="AE33" s="178">
        <f t="shared" ref="AE33:AL48" si="29">MOD($B33*2^$AE$31+INT(AE$32*$D33),10*2^$AE$31)</f>
        <v>0</v>
      </c>
      <c r="AF33" s="179">
        <f t="shared" si="29"/>
        <v>1</v>
      </c>
      <c r="AG33" s="179">
        <f t="shared" si="29"/>
        <v>2</v>
      </c>
      <c r="AH33" s="179">
        <f t="shared" si="29"/>
        <v>3</v>
      </c>
      <c r="AI33" s="179">
        <f t="shared" si="29"/>
        <v>4</v>
      </c>
      <c r="AJ33" s="179">
        <f t="shared" si="29"/>
        <v>5</v>
      </c>
      <c r="AK33" s="179">
        <f t="shared" si="29"/>
        <v>6</v>
      </c>
      <c r="AL33" s="180">
        <f t="shared" si="29"/>
        <v>7</v>
      </c>
      <c r="AM33" s="178">
        <f>MOD($B33*2^$AM$31+INT(AM$32*$D33),10*2^$AM$31)</f>
        <v>0</v>
      </c>
      <c r="AN33" s="179">
        <f t="shared" ref="AN33:AT48" si="30">MOD($B33*2^$AM$31+INT(AN$32*$D33),10*2^$AM$31)</f>
        <v>1</v>
      </c>
      <c r="AO33" s="179">
        <f t="shared" si="30"/>
        <v>2</v>
      </c>
      <c r="AP33" s="179">
        <f t="shared" si="30"/>
        <v>3</v>
      </c>
      <c r="AQ33" s="179">
        <f t="shared" si="30"/>
        <v>4</v>
      </c>
      <c r="AR33" s="179">
        <f t="shared" si="30"/>
        <v>5</v>
      </c>
      <c r="AS33" s="179">
        <f t="shared" si="30"/>
        <v>6</v>
      </c>
      <c r="AT33" s="180">
        <f t="shared" si="30"/>
        <v>7</v>
      </c>
      <c r="AU33" s="178">
        <f>MOD($B33*2^$AU$31+INT(AU$32*$D33),10*2^$AU$31)</f>
        <v>0</v>
      </c>
      <c r="AV33" s="179">
        <f t="shared" ref="AV33:BB48" si="31">MOD($B33*2^$AU$31+INT(AV$32*$D33),10*2^$AU$31)</f>
        <v>1</v>
      </c>
      <c r="AW33" s="179">
        <f t="shared" si="31"/>
        <v>2</v>
      </c>
      <c r="AX33" s="179">
        <f t="shared" si="31"/>
        <v>3</v>
      </c>
      <c r="AY33" s="179">
        <f t="shared" si="31"/>
        <v>4</v>
      </c>
      <c r="AZ33" s="179">
        <f t="shared" si="31"/>
        <v>5</v>
      </c>
      <c r="BA33" s="179">
        <f t="shared" si="31"/>
        <v>6</v>
      </c>
      <c r="BB33" s="180">
        <f t="shared" si="31"/>
        <v>7</v>
      </c>
    </row>
    <row r="34" spans="1:54" ht="30" x14ac:dyDescent="0.25">
      <c r="A34" s="144">
        <v>1</v>
      </c>
      <c r="B34" s="141">
        <v>0</v>
      </c>
      <c r="C34" s="141">
        <v>2</v>
      </c>
      <c r="D34" s="141">
        <v>0.5</v>
      </c>
      <c r="E34" s="143" t="s">
        <v>203</v>
      </c>
      <c r="F34" s="130">
        <f t="shared" si="25"/>
        <v>0</v>
      </c>
      <c r="G34" s="54">
        <f t="shared" si="26"/>
        <v>3</v>
      </c>
      <c r="H34" s="54">
        <f t="shared" si="26"/>
        <v>14</v>
      </c>
      <c r="I34" s="54">
        <f t="shared" si="26"/>
        <v>17</v>
      </c>
      <c r="J34" s="54">
        <f t="shared" si="26"/>
        <v>28</v>
      </c>
      <c r="K34" s="54">
        <f t="shared" si="26"/>
        <v>31</v>
      </c>
      <c r="L34" s="54">
        <f t="shared" si="26"/>
        <v>42</v>
      </c>
      <c r="M34" s="129">
        <f t="shared" si="26"/>
        <v>45</v>
      </c>
      <c r="N34" s="130">
        <f t="shared" ref="N34:N48" si="32">14*MOD($B34*2^$N$31+INT(N$32*$D34),10*2^$N$31)+IF(ISNUMBER($E34),$E34,IF(ISEVEN(N$32),0,$C$30))</f>
        <v>0</v>
      </c>
      <c r="O34" s="54">
        <f t="shared" si="27"/>
        <v>3</v>
      </c>
      <c r="P34" s="54">
        <f t="shared" si="27"/>
        <v>14</v>
      </c>
      <c r="Q34" s="54">
        <f t="shared" si="27"/>
        <v>17</v>
      </c>
      <c r="R34" s="54">
        <f t="shared" si="27"/>
        <v>28</v>
      </c>
      <c r="S34" s="54">
        <f t="shared" si="27"/>
        <v>31</v>
      </c>
      <c r="T34" s="54">
        <f t="shared" si="27"/>
        <v>42</v>
      </c>
      <c r="U34" s="131">
        <f t="shared" si="27"/>
        <v>45</v>
      </c>
      <c r="V34" s="130">
        <f t="shared" ref="V34:V48" si="33">14*MOD($B34*2^$V$31+INT(V$32*$D34),10*2^$V$31)+IF(ISNUMBER($E34),$E34,IF(ISEVEN(V$32),0,$C$30))</f>
        <v>0</v>
      </c>
      <c r="W34" s="54">
        <f t="shared" si="28"/>
        <v>3</v>
      </c>
      <c r="X34" s="54">
        <f t="shared" si="28"/>
        <v>14</v>
      </c>
      <c r="Y34" s="54">
        <f t="shared" si="28"/>
        <v>17</v>
      </c>
      <c r="Z34" s="54">
        <f t="shared" si="28"/>
        <v>28</v>
      </c>
      <c r="AA34" s="54">
        <f t="shared" si="28"/>
        <v>31</v>
      </c>
      <c r="AB34" s="54">
        <f t="shared" si="28"/>
        <v>42</v>
      </c>
      <c r="AC34" s="131">
        <f t="shared" si="28"/>
        <v>45</v>
      </c>
      <c r="AE34" s="166">
        <f t="shared" si="29"/>
        <v>0</v>
      </c>
      <c r="AF34" s="167">
        <f t="shared" si="29"/>
        <v>0</v>
      </c>
      <c r="AG34" s="168">
        <f t="shared" si="29"/>
        <v>1</v>
      </c>
      <c r="AH34" s="168">
        <f t="shared" si="29"/>
        <v>1</v>
      </c>
      <c r="AI34" s="167">
        <f t="shared" si="29"/>
        <v>2</v>
      </c>
      <c r="AJ34" s="167">
        <f t="shared" si="29"/>
        <v>2</v>
      </c>
      <c r="AK34" s="168">
        <f t="shared" si="29"/>
        <v>3</v>
      </c>
      <c r="AL34" s="169">
        <f t="shared" si="29"/>
        <v>3</v>
      </c>
      <c r="AM34" s="166">
        <f t="shared" ref="AM34:AM48" si="34">MOD($B34*2^$AM$31+INT(AM$32*$D34),10*2^$AM$31)</f>
        <v>0</v>
      </c>
      <c r="AN34" s="167">
        <f t="shared" si="30"/>
        <v>0</v>
      </c>
      <c r="AO34" s="168">
        <f t="shared" si="30"/>
        <v>1</v>
      </c>
      <c r="AP34" s="168">
        <f t="shared" si="30"/>
        <v>1</v>
      </c>
      <c r="AQ34" s="167">
        <f t="shared" si="30"/>
        <v>2</v>
      </c>
      <c r="AR34" s="167">
        <f t="shared" si="30"/>
        <v>2</v>
      </c>
      <c r="AS34" s="168">
        <f t="shared" si="30"/>
        <v>3</v>
      </c>
      <c r="AT34" s="169">
        <f t="shared" si="30"/>
        <v>3</v>
      </c>
      <c r="AU34" s="166">
        <f t="shared" ref="AU34:AU48" si="35">MOD($B34*2^$AU$31+INT(AU$32*$D34),10*2^$AU$31)</f>
        <v>0</v>
      </c>
      <c r="AV34" s="167">
        <f t="shared" si="31"/>
        <v>0</v>
      </c>
      <c r="AW34" s="168">
        <f t="shared" si="31"/>
        <v>1</v>
      </c>
      <c r="AX34" s="168">
        <f t="shared" si="31"/>
        <v>1</v>
      </c>
      <c r="AY34" s="167">
        <f t="shared" si="31"/>
        <v>2</v>
      </c>
      <c r="AZ34" s="167">
        <f t="shared" si="31"/>
        <v>2</v>
      </c>
      <c r="BA34" s="168">
        <f t="shared" si="31"/>
        <v>3</v>
      </c>
      <c r="BB34" s="169">
        <f t="shared" si="31"/>
        <v>3</v>
      </c>
    </row>
    <row r="35" spans="1:54" x14ac:dyDescent="0.25">
      <c r="A35" s="144">
        <v>2</v>
      </c>
      <c r="B35" s="141">
        <v>2</v>
      </c>
      <c r="C35" s="141">
        <v>1</v>
      </c>
      <c r="D35" s="141">
        <v>1</v>
      </c>
      <c r="E35" s="142">
        <v>0</v>
      </c>
      <c r="F35" s="130">
        <f t="shared" si="25"/>
        <v>28</v>
      </c>
      <c r="G35" s="54">
        <f t="shared" si="26"/>
        <v>42</v>
      </c>
      <c r="H35" s="54">
        <f t="shared" si="26"/>
        <v>56</v>
      </c>
      <c r="I35" s="54">
        <f t="shared" si="26"/>
        <v>70</v>
      </c>
      <c r="J35" s="54">
        <f t="shared" si="26"/>
        <v>84</v>
      </c>
      <c r="K35" s="54">
        <f t="shared" si="26"/>
        <v>98</v>
      </c>
      <c r="L35" s="54">
        <f t="shared" si="26"/>
        <v>112</v>
      </c>
      <c r="M35" s="129">
        <f t="shared" si="26"/>
        <v>126</v>
      </c>
      <c r="N35" s="130">
        <f t="shared" si="32"/>
        <v>56</v>
      </c>
      <c r="O35" s="54">
        <f t="shared" si="27"/>
        <v>70</v>
      </c>
      <c r="P35" s="54">
        <f t="shared" si="27"/>
        <v>84</v>
      </c>
      <c r="Q35" s="54">
        <f t="shared" si="27"/>
        <v>98</v>
      </c>
      <c r="R35" s="54">
        <f t="shared" si="27"/>
        <v>112</v>
      </c>
      <c r="S35" s="54">
        <f t="shared" si="27"/>
        <v>126</v>
      </c>
      <c r="T35" s="54">
        <f t="shared" si="27"/>
        <v>140</v>
      </c>
      <c r="U35" s="131">
        <f t="shared" si="27"/>
        <v>154</v>
      </c>
      <c r="V35" s="130">
        <f t="shared" si="33"/>
        <v>112</v>
      </c>
      <c r="W35" s="54">
        <f t="shared" si="28"/>
        <v>126</v>
      </c>
      <c r="X35" s="54">
        <f t="shared" si="28"/>
        <v>140</v>
      </c>
      <c r="Y35" s="54">
        <f t="shared" si="28"/>
        <v>154</v>
      </c>
      <c r="Z35" s="54">
        <f t="shared" si="28"/>
        <v>168</v>
      </c>
      <c r="AA35" s="54">
        <f t="shared" si="28"/>
        <v>182</v>
      </c>
      <c r="AB35" s="54">
        <f t="shared" si="28"/>
        <v>196</v>
      </c>
      <c r="AC35" s="131">
        <f t="shared" si="28"/>
        <v>210</v>
      </c>
      <c r="AE35" s="130">
        <f t="shared" si="29"/>
        <v>2</v>
      </c>
      <c r="AF35" s="54">
        <f t="shared" si="29"/>
        <v>3</v>
      </c>
      <c r="AG35" s="54">
        <f t="shared" si="29"/>
        <v>4</v>
      </c>
      <c r="AH35" s="54">
        <f t="shared" si="29"/>
        <v>5</v>
      </c>
      <c r="AI35" s="54">
        <f t="shared" si="29"/>
        <v>6</v>
      </c>
      <c r="AJ35" s="54">
        <f t="shared" si="29"/>
        <v>7</v>
      </c>
      <c r="AK35" s="54">
        <f t="shared" si="29"/>
        <v>8</v>
      </c>
      <c r="AL35" s="131">
        <f t="shared" si="29"/>
        <v>9</v>
      </c>
      <c r="AM35" s="130">
        <f t="shared" si="34"/>
        <v>4</v>
      </c>
      <c r="AN35" s="54">
        <f t="shared" si="30"/>
        <v>5</v>
      </c>
      <c r="AO35" s="54">
        <f t="shared" si="30"/>
        <v>6</v>
      </c>
      <c r="AP35" s="54">
        <f t="shared" si="30"/>
        <v>7</v>
      </c>
      <c r="AQ35" s="54">
        <f t="shared" si="30"/>
        <v>8</v>
      </c>
      <c r="AR35" s="54">
        <f t="shared" si="30"/>
        <v>9</v>
      </c>
      <c r="AS35" s="54">
        <f t="shared" si="30"/>
        <v>10</v>
      </c>
      <c r="AT35" s="131">
        <f t="shared" si="30"/>
        <v>11</v>
      </c>
      <c r="AU35" s="130">
        <f t="shared" si="35"/>
        <v>8</v>
      </c>
      <c r="AV35" s="54">
        <f t="shared" si="31"/>
        <v>9</v>
      </c>
      <c r="AW35" s="54">
        <f t="shared" si="31"/>
        <v>10</v>
      </c>
      <c r="AX35" s="54">
        <f t="shared" si="31"/>
        <v>11</v>
      </c>
      <c r="AY35" s="54">
        <f t="shared" si="31"/>
        <v>12</v>
      </c>
      <c r="AZ35" s="54">
        <f t="shared" si="31"/>
        <v>13</v>
      </c>
      <c r="BA35" s="54">
        <f t="shared" si="31"/>
        <v>14</v>
      </c>
      <c r="BB35" s="131">
        <f t="shared" si="31"/>
        <v>15</v>
      </c>
    </row>
    <row r="36" spans="1:54" ht="30" x14ac:dyDescent="0.25">
      <c r="A36" s="144">
        <v>3</v>
      </c>
      <c r="B36" s="141">
        <v>2</v>
      </c>
      <c r="C36" s="141">
        <v>2</v>
      </c>
      <c r="D36" s="141">
        <v>0.5</v>
      </c>
      <c r="E36" s="143" t="s">
        <v>203</v>
      </c>
      <c r="F36" s="130">
        <f t="shared" si="25"/>
        <v>28</v>
      </c>
      <c r="G36" s="54">
        <f t="shared" si="26"/>
        <v>31</v>
      </c>
      <c r="H36" s="54">
        <f t="shared" si="26"/>
        <v>42</v>
      </c>
      <c r="I36" s="54">
        <f t="shared" si="26"/>
        <v>45</v>
      </c>
      <c r="J36" s="54">
        <f t="shared" si="26"/>
        <v>56</v>
      </c>
      <c r="K36" s="54">
        <f t="shared" si="26"/>
        <v>59</v>
      </c>
      <c r="L36" s="54">
        <f t="shared" si="26"/>
        <v>70</v>
      </c>
      <c r="M36" s="129">
        <f t="shared" si="26"/>
        <v>73</v>
      </c>
      <c r="N36" s="130">
        <f t="shared" si="32"/>
        <v>56</v>
      </c>
      <c r="O36" s="54">
        <f t="shared" si="27"/>
        <v>59</v>
      </c>
      <c r="P36" s="54">
        <f t="shared" si="27"/>
        <v>70</v>
      </c>
      <c r="Q36" s="54">
        <f t="shared" si="27"/>
        <v>73</v>
      </c>
      <c r="R36" s="54">
        <f t="shared" si="27"/>
        <v>84</v>
      </c>
      <c r="S36" s="54">
        <f t="shared" si="27"/>
        <v>87</v>
      </c>
      <c r="T36" s="54">
        <f t="shared" si="27"/>
        <v>98</v>
      </c>
      <c r="U36" s="131">
        <f t="shared" si="27"/>
        <v>101</v>
      </c>
      <c r="V36" s="130">
        <f t="shared" si="33"/>
        <v>112</v>
      </c>
      <c r="W36" s="54">
        <f t="shared" si="28"/>
        <v>115</v>
      </c>
      <c r="X36" s="54">
        <f t="shared" si="28"/>
        <v>126</v>
      </c>
      <c r="Y36" s="54">
        <f t="shared" si="28"/>
        <v>129</v>
      </c>
      <c r="Z36" s="54">
        <f t="shared" si="28"/>
        <v>140</v>
      </c>
      <c r="AA36" s="54">
        <f t="shared" si="28"/>
        <v>143</v>
      </c>
      <c r="AB36" s="54">
        <f t="shared" si="28"/>
        <v>154</v>
      </c>
      <c r="AC36" s="131">
        <f t="shared" si="28"/>
        <v>157</v>
      </c>
      <c r="AE36" s="166">
        <f t="shared" si="29"/>
        <v>2</v>
      </c>
      <c r="AF36" s="167">
        <f t="shared" si="29"/>
        <v>2</v>
      </c>
      <c r="AG36" s="168">
        <f t="shared" si="29"/>
        <v>3</v>
      </c>
      <c r="AH36" s="168">
        <f t="shared" si="29"/>
        <v>3</v>
      </c>
      <c r="AI36" s="167">
        <f t="shared" si="29"/>
        <v>4</v>
      </c>
      <c r="AJ36" s="167">
        <f t="shared" si="29"/>
        <v>4</v>
      </c>
      <c r="AK36" s="168">
        <f t="shared" si="29"/>
        <v>5</v>
      </c>
      <c r="AL36" s="169">
        <f t="shared" si="29"/>
        <v>5</v>
      </c>
      <c r="AM36" s="166">
        <f t="shared" si="34"/>
        <v>4</v>
      </c>
      <c r="AN36" s="167">
        <f t="shared" si="30"/>
        <v>4</v>
      </c>
      <c r="AO36" s="168">
        <f t="shared" si="30"/>
        <v>5</v>
      </c>
      <c r="AP36" s="168">
        <f t="shared" si="30"/>
        <v>5</v>
      </c>
      <c r="AQ36" s="167">
        <f t="shared" si="30"/>
        <v>6</v>
      </c>
      <c r="AR36" s="167">
        <f t="shared" si="30"/>
        <v>6</v>
      </c>
      <c r="AS36" s="168">
        <f t="shared" si="30"/>
        <v>7</v>
      </c>
      <c r="AT36" s="169">
        <f t="shared" si="30"/>
        <v>7</v>
      </c>
      <c r="AU36" s="166">
        <f t="shared" si="35"/>
        <v>8</v>
      </c>
      <c r="AV36" s="167">
        <f t="shared" si="31"/>
        <v>8</v>
      </c>
      <c r="AW36" s="168">
        <f t="shared" si="31"/>
        <v>9</v>
      </c>
      <c r="AX36" s="168">
        <f t="shared" si="31"/>
        <v>9</v>
      </c>
      <c r="AY36" s="167">
        <f t="shared" si="31"/>
        <v>10</v>
      </c>
      <c r="AZ36" s="167">
        <f t="shared" si="31"/>
        <v>10</v>
      </c>
      <c r="BA36" s="168">
        <f t="shared" si="31"/>
        <v>11</v>
      </c>
      <c r="BB36" s="169">
        <f t="shared" si="31"/>
        <v>11</v>
      </c>
    </row>
    <row r="37" spans="1:54" x14ac:dyDescent="0.25">
      <c r="A37" s="144">
        <v>4</v>
      </c>
      <c r="B37" s="141">
        <v>5</v>
      </c>
      <c r="C37" s="141">
        <v>1</v>
      </c>
      <c r="D37" s="141">
        <v>1</v>
      </c>
      <c r="E37" s="142">
        <v>0</v>
      </c>
      <c r="F37" s="130">
        <f t="shared" si="25"/>
        <v>70</v>
      </c>
      <c r="G37" s="54">
        <f t="shared" si="26"/>
        <v>84</v>
      </c>
      <c r="H37" s="54">
        <f t="shared" si="26"/>
        <v>98</v>
      </c>
      <c r="I37" s="54">
        <f t="shared" si="26"/>
        <v>112</v>
      </c>
      <c r="J37" s="54">
        <f t="shared" si="26"/>
        <v>126</v>
      </c>
      <c r="K37" s="54">
        <f t="shared" si="26"/>
        <v>0</v>
      </c>
      <c r="L37" s="54">
        <f t="shared" si="26"/>
        <v>14</v>
      </c>
      <c r="M37" s="129">
        <f t="shared" si="26"/>
        <v>28</v>
      </c>
      <c r="N37" s="130">
        <f t="shared" si="32"/>
        <v>140</v>
      </c>
      <c r="O37" s="54">
        <f t="shared" si="27"/>
        <v>154</v>
      </c>
      <c r="P37" s="54">
        <f t="shared" si="27"/>
        <v>168</v>
      </c>
      <c r="Q37" s="54">
        <f t="shared" si="27"/>
        <v>182</v>
      </c>
      <c r="R37" s="54">
        <f t="shared" si="27"/>
        <v>196</v>
      </c>
      <c r="S37" s="54">
        <f t="shared" si="27"/>
        <v>210</v>
      </c>
      <c r="T37" s="54">
        <f t="shared" si="27"/>
        <v>224</v>
      </c>
      <c r="U37" s="131">
        <f t="shared" si="27"/>
        <v>238</v>
      </c>
      <c r="V37" s="130">
        <f t="shared" si="33"/>
        <v>280</v>
      </c>
      <c r="W37" s="54">
        <f t="shared" si="28"/>
        <v>294</v>
      </c>
      <c r="X37" s="54">
        <f t="shared" si="28"/>
        <v>308</v>
      </c>
      <c r="Y37" s="54">
        <f t="shared" si="28"/>
        <v>322</v>
      </c>
      <c r="Z37" s="54">
        <f t="shared" si="28"/>
        <v>336</v>
      </c>
      <c r="AA37" s="54">
        <f t="shared" si="28"/>
        <v>350</v>
      </c>
      <c r="AB37" s="54">
        <f t="shared" si="28"/>
        <v>364</v>
      </c>
      <c r="AC37" s="131">
        <f t="shared" si="28"/>
        <v>378</v>
      </c>
      <c r="AE37" s="130">
        <f t="shared" si="29"/>
        <v>5</v>
      </c>
      <c r="AF37" s="54">
        <f t="shared" si="29"/>
        <v>6</v>
      </c>
      <c r="AG37" s="54">
        <f t="shared" si="29"/>
        <v>7</v>
      </c>
      <c r="AH37" s="54">
        <f t="shared" si="29"/>
        <v>8</v>
      </c>
      <c r="AI37" s="54">
        <f t="shared" si="29"/>
        <v>9</v>
      </c>
      <c r="AJ37" s="54">
        <f t="shared" si="29"/>
        <v>0</v>
      </c>
      <c r="AK37" s="54">
        <f t="shared" si="29"/>
        <v>1</v>
      </c>
      <c r="AL37" s="131">
        <f t="shared" si="29"/>
        <v>2</v>
      </c>
      <c r="AM37" s="130">
        <f t="shared" si="34"/>
        <v>10</v>
      </c>
      <c r="AN37" s="54">
        <f t="shared" si="30"/>
        <v>11</v>
      </c>
      <c r="AO37" s="54">
        <f t="shared" si="30"/>
        <v>12</v>
      </c>
      <c r="AP37" s="54">
        <f t="shared" si="30"/>
        <v>13</v>
      </c>
      <c r="AQ37" s="54">
        <f t="shared" si="30"/>
        <v>14</v>
      </c>
      <c r="AR37" s="54">
        <f t="shared" si="30"/>
        <v>15</v>
      </c>
      <c r="AS37" s="54">
        <f t="shared" si="30"/>
        <v>16</v>
      </c>
      <c r="AT37" s="131">
        <f t="shared" si="30"/>
        <v>17</v>
      </c>
      <c r="AU37" s="130">
        <f t="shared" si="35"/>
        <v>20</v>
      </c>
      <c r="AV37" s="54">
        <f t="shared" si="31"/>
        <v>21</v>
      </c>
      <c r="AW37" s="54">
        <f t="shared" si="31"/>
        <v>22</v>
      </c>
      <c r="AX37" s="54">
        <f t="shared" si="31"/>
        <v>23</v>
      </c>
      <c r="AY37" s="54">
        <f t="shared" si="31"/>
        <v>24</v>
      </c>
      <c r="AZ37" s="54">
        <f t="shared" si="31"/>
        <v>25</v>
      </c>
      <c r="BA37" s="54">
        <f t="shared" si="31"/>
        <v>26</v>
      </c>
      <c r="BB37" s="131">
        <f t="shared" si="31"/>
        <v>27</v>
      </c>
    </row>
    <row r="38" spans="1:54" ht="30" x14ac:dyDescent="0.25">
      <c r="A38" s="144">
        <v>5</v>
      </c>
      <c r="B38" s="141">
        <v>5</v>
      </c>
      <c r="C38" s="141">
        <v>2</v>
      </c>
      <c r="D38" s="141">
        <v>0.5</v>
      </c>
      <c r="E38" s="143" t="s">
        <v>203</v>
      </c>
      <c r="F38" s="130">
        <f t="shared" si="25"/>
        <v>70</v>
      </c>
      <c r="G38" s="54">
        <f t="shared" si="26"/>
        <v>73</v>
      </c>
      <c r="H38" s="54">
        <f t="shared" si="26"/>
        <v>84</v>
      </c>
      <c r="I38" s="54">
        <f t="shared" si="26"/>
        <v>87</v>
      </c>
      <c r="J38" s="54">
        <f t="shared" si="26"/>
        <v>98</v>
      </c>
      <c r="K38" s="54">
        <f t="shared" si="26"/>
        <v>101</v>
      </c>
      <c r="L38" s="54">
        <f t="shared" si="26"/>
        <v>112</v>
      </c>
      <c r="M38" s="129">
        <f t="shared" si="26"/>
        <v>115</v>
      </c>
      <c r="N38" s="130">
        <f t="shared" si="32"/>
        <v>140</v>
      </c>
      <c r="O38" s="54">
        <f t="shared" si="27"/>
        <v>143</v>
      </c>
      <c r="P38" s="54">
        <f t="shared" si="27"/>
        <v>154</v>
      </c>
      <c r="Q38" s="54">
        <f t="shared" si="27"/>
        <v>157</v>
      </c>
      <c r="R38" s="54">
        <f t="shared" si="27"/>
        <v>168</v>
      </c>
      <c r="S38" s="54">
        <f t="shared" si="27"/>
        <v>171</v>
      </c>
      <c r="T38" s="54">
        <f t="shared" si="27"/>
        <v>182</v>
      </c>
      <c r="U38" s="131">
        <f t="shared" si="27"/>
        <v>185</v>
      </c>
      <c r="V38" s="130">
        <f t="shared" si="33"/>
        <v>280</v>
      </c>
      <c r="W38" s="54">
        <f t="shared" si="28"/>
        <v>283</v>
      </c>
      <c r="X38" s="54">
        <f t="shared" si="28"/>
        <v>294</v>
      </c>
      <c r="Y38" s="54">
        <f t="shared" si="28"/>
        <v>297</v>
      </c>
      <c r="Z38" s="54">
        <f t="shared" si="28"/>
        <v>308</v>
      </c>
      <c r="AA38" s="54">
        <f t="shared" si="28"/>
        <v>311</v>
      </c>
      <c r="AB38" s="54">
        <f t="shared" si="28"/>
        <v>322</v>
      </c>
      <c r="AC38" s="131">
        <f t="shared" si="28"/>
        <v>325</v>
      </c>
      <c r="AE38" s="166">
        <f t="shared" si="29"/>
        <v>5</v>
      </c>
      <c r="AF38" s="167">
        <f t="shared" si="29"/>
        <v>5</v>
      </c>
      <c r="AG38" s="168">
        <f t="shared" si="29"/>
        <v>6</v>
      </c>
      <c r="AH38" s="168">
        <f t="shared" si="29"/>
        <v>6</v>
      </c>
      <c r="AI38" s="167">
        <f t="shared" si="29"/>
        <v>7</v>
      </c>
      <c r="AJ38" s="167">
        <f t="shared" si="29"/>
        <v>7</v>
      </c>
      <c r="AK38" s="168">
        <f t="shared" si="29"/>
        <v>8</v>
      </c>
      <c r="AL38" s="169">
        <f t="shared" si="29"/>
        <v>8</v>
      </c>
      <c r="AM38" s="166">
        <f t="shared" si="34"/>
        <v>10</v>
      </c>
      <c r="AN38" s="167">
        <f t="shared" si="30"/>
        <v>10</v>
      </c>
      <c r="AO38" s="168">
        <f t="shared" si="30"/>
        <v>11</v>
      </c>
      <c r="AP38" s="168">
        <f t="shared" si="30"/>
        <v>11</v>
      </c>
      <c r="AQ38" s="167">
        <f t="shared" si="30"/>
        <v>12</v>
      </c>
      <c r="AR38" s="167">
        <f t="shared" si="30"/>
        <v>12</v>
      </c>
      <c r="AS38" s="168">
        <f t="shared" si="30"/>
        <v>13</v>
      </c>
      <c r="AT38" s="169">
        <f t="shared" si="30"/>
        <v>13</v>
      </c>
      <c r="AU38" s="166">
        <f t="shared" si="35"/>
        <v>20</v>
      </c>
      <c r="AV38" s="167">
        <f t="shared" si="31"/>
        <v>20</v>
      </c>
      <c r="AW38" s="168">
        <f t="shared" si="31"/>
        <v>21</v>
      </c>
      <c r="AX38" s="168">
        <f t="shared" si="31"/>
        <v>21</v>
      </c>
      <c r="AY38" s="167">
        <f t="shared" si="31"/>
        <v>22</v>
      </c>
      <c r="AZ38" s="167">
        <f t="shared" si="31"/>
        <v>22</v>
      </c>
      <c r="BA38" s="168">
        <f t="shared" si="31"/>
        <v>23</v>
      </c>
      <c r="BB38" s="169">
        <f t="shared" si="31"/>
        <v>23</v>
      </c>
    </row>
    <row r="39" spans="1:54" x14ac:dyDescent="0.25">
      <c r="A39" s="144">
        <v>6</v>
      </c>
      <c r="B39" s="141">
        <v>7</v>
      </c>
      <c r="C39" s="141">
        <v>1</v>
      </c>
      <c r="D39" s="141">
        <v>1</v>
      </c>
      <c r="E39" s="142">
        <v>0</v>
      </c>
      <c r="F39" s="130">
        <f t="shared" si="25"/>
        <v>98</v>
      </c>
      <c r="G39" s="54">
        <f t="shared" si="26"/>
        <v>112</v>
      </c>
      <c r="H39" s="54">
        <f t="shared" si="26"/>
        <v>126</v>
      </c>
      <c r="I39" s="54">
        <f t="shared" si="26"/>
        <v>0</v>
      </c>
      <c r="J39" s="54">
        <f t="shared" si="26"/>
        <v>14</v>
      </c>
      <c r="K39" s="54">
        <f t="shared" si="26"/>
        <v>28</v>
      </c>
      <c r="L39" s="54">
        <f t="shared" si="26"/>
        <v>42</v>
      </c>
      <c r="M39" s="129">
        <f t="shared" si="26"/>
        <v>56</v>
      </c>
      <c r="N39" s="130">
        <f t="shared" si="32"/>
        <v>196</v>
      </c>
      <c r="O39" s="54">
        <f t="shared" si="27"/>
        <v>210</v>
      </c>
      <c r="P39" s="54">
        <f t="shared" si="27"/>
        <v>224</v>
      </c>
      <c r="Q39" s="54">
        <f t="shared" si="27"/>
        <v>238</v>
      </c>
      <c r="R39" s="54">
        <f t="shared" si="27"/>
        <v>252</v>
      </c>
      <c r="S39" s="54">
        <f t="shared" si="27"/>
        <v>266</v>
      </c>
      <c r="T39" s="54">
        <f t="shared" si="27"/>
        <v>0</v>
      </c>
      <c r="U39" s="131">
        <f t="shared" si="27"/>
        <v>14</v>
      </c>
      <c r="V39" s="130">
        <f t="shared" si="33"/>
        <v>392</v>
      </c>
      <c r="W39" s="54">
        <f t="shared" si="28"/>
        <v>406</v>
      </c>
      <c r="X39" s="54">
        <f t="shared" si="28"/>
        <v>420</v>
      </c>
      <c r="Y39" s="54">
        <f t="shared" si="28"/>
        <v>434</v>
      </c>
      <c r="Z39" s="54">
        <f t="shared" si="28"/>
        <v>448</v>
      </c>
      <c r="AA39" s="54">
        <f t="shared" si="28"/>
        <v>462</v>
      </c>
      <c r="AB39" s="54">
        <f t="shared" si="28"/>
        <v>476</v>
      </c>
      <c r="AC39" s="131">
        <f t="shared" si="28"/>
        <v>490</v>
      </c>
      <c r="AE39" s="130">
        <f t="shared" si="29"/>
        <v>7</v>
      </c>
      <c r="AF39" s="54">
        <f t="shared" si="29"/>
        <v>8</v>
      </c>
      <c r="AG39" s="54">
        <f t="shared" si="29"/>
        <v>9</v>
      </c>
      <c r="AH39" s="54">
        <f t="shared" si="29"/>
        <v>0</v>
      </c>
      <c r="AI39" s="54">
        <f t="shared" si="29"/>
        <v>1</v>
      </c>
      <c r="AJ39" s="54">
        <f t="shared" si="29"/>
        <v>2</v>
      </c>
      <c r="AK39" s="54">
        <f t="shared" si="29"/>
        <v>3</v>
      </c>
      <c r="AL39" s="131">
        <f t="shared" si="29"/>
        <v>4</v>
      </c>
      <c r="AM39" s="130">
        <f t="shared" si="34"/>
        <v>14</v>
      </c>
      <c r="AN39" s="54">
        <f t="shared" si="30"/>
        <v>15</v>
      </c>
      <c r="AO39" s="54">
        <f t="shared" si="30"/>
        <v>16</v>
      </c>
      <c r="AP39" s="54">
        <f t="shared" si="30"/>
        <v>17</v>
      </c>
      <c r="AQ39" s="54">
        <f t="shared" si="30"/>
        <v>18</v>
      </c>
      <c r="AR39" s="54">
        <f t="shared" si="30"/>
        <v>19</v>
      </c>
      <c r="AS39" s="54">
        <f t="shared" si="30"/>
        <v>0</v>
      </c>
      <c r="AT39" s="131">
        <f t="shared" si="30"/>
        <v>1</v>
      </c>
      <c r="AU39" s="130">
        <f t="shared" si="35"/>
        <v>28</v>
      </c>
      <c r="AV39" s="54">
        <f t="shared" si="31"/>
        <v>29</v>
      </c>
      <c r="AW39" s="54">
        <f t="shared" si="31"/>
        <v>30</v>
      </c>
      <c r="AX39" s="54">
        <f t="shared" si="31"/>
        <v>31</v>
      </c>
      <c r="AY39" s="54">
        <f t="shared" si="31"/>
        <v>32</v>
      </c>
      <c r="AZ39" s="54">
        <f t="shared" si="31"/>
        <v>33</v>
      </c>
      <c r="BA39" s="54">
        <f t="shared" si="31"/>
        <v>34</v>
      </c>
      <c r="BB39" s="131">
        <f t="shared" si="31"/>
        <v>35</v>
      </c>
    </row>
    <row r="40" spans="1:54" ht="30" x14ac:dyDescent="0.25">
      <c r="A40" s="144">
        <v>7</v>
      </c>
      <c r="B40" s="141">
        <v>7</v>
      </c>
      <c r="C40" s="141">
        <v>2</v>
      </c>
      <c r="D40" s="141">
        <v>0.5</v>
      </c>
      <c r="E40" s="143" t="s">
        <v>203</v>
      </c>
      <c r="F40" s="130">
        <f t="shared" si="25"/>
        <v>98</v>
      </c>
      <c r="G40" s="54">
        <f t="shared" si="26"/>
        <v>101</v>
      </c>
      <c r="H40" s="54">
        <f t="shared" si="26"/>
        <v>112</v>
      </c>
      <c r="I40" s="54">
        <f t="shared" si="26"/>
        <v>115</v>
      </c>
      <c r="J40" s="54">
        <f t="shared" si="26"/>
        <v>126</v>
      </c>
      <c r="K40" s="54">
        <f t="shared" si="26"/>
        <v>129</v>
      </c>
      <c r="L40" s="54">
        <f t="shared" si="26"/>
        <v>0</v>
      </c>
      <c r="M40" s="129">
        <f t="shared" si="26"/>
        <v>3</v>
      </c>
      <c r="N40" s="130">
        <f t="shared" si="32"/>
        <v>196</v>
      </c>
      <c r="O40" s="54">
        <f t="shared" si="27"/>
        <v>199</v>
      </c>
      <c r="P40" s="54">
        <f t="shared" si="27"/>
        <v>210</v>
      </c>
      <c r="Q40" s="54">
        <f t="shared" si="27"/>
        <v>213</v>
      </c>
      <c r="R40" s="54">
        <f t="shared" si="27"/>
        <v>224</v>
      </c>
      <c r="S40" s="54">
        <f t="shared" si="27"/>
        <v>227</v>
      </c>
      <c r="T40" s="54">
        <f t="shared" si="27"/>
        <v>238</v>
      </c>
      <c r="U40" s="131">
        <f t="shared" si="27"/>
        <v>241</v>
      </c>
      <c r="V40" s="130">
        <f t="shared" si="33"/>
        <v>392</v>
      </c>
      <c r="W40" s="54">
        <f t="shared" si="28"/>
        <v>395</v>
      </c>
      <c r="X40" s="54">
        <f t="shared" si="28"/>
        <v>406</v>
      </c>
      <c r="Y40" s="54">
        <f t="shared" si="28"/>
        <v>409</v>
      </c>
      <c r="Z40" s="54">
        <f t="shared" si="28"/>
        <v>420</v>
      </c>
      <c r="AA40" s="54">
        <f t="shared" si="28"/>
        <v>423</v>
      </c>
      <c r="AB40" s="54">
        <f t="shared" si="28"/>
        <v>434</v>
      </c>
      <c r="AC40" s="131">
        <f t="shared" si="28"/>
        <v>437</v>
      </c>
      <c r="AE40" s="166">
        <f t="shared" si="29"/>
        <v>7</v>
      </c>
      <c r="AF40" s="167">
        <f t="shared" si="29"/>
        <v>7</v>
      </c>
      <c r="AG40" s="168">
        <f t="shared" si="29"/>
        <v>8</v>
      </c>
      <c r="AH40" s="168">
        <f t="shared" si="29"/>
        <v>8</v>
      </c>
      <c r="AI40" s="167">
        <f t="shared" si="29"/>
        <v>9</v>
      </c>
      <c r="AJ40" s="167">
        <f t="shared" si="29"/>
        <v>9</v>
      </c>
      <c r="AK40" s="168">
        <f t="shared" si="29"/>
        <v>0</v>
      </c>
      <c r="AL40" s="169">
        <f t="shared" si="29"/>
        <v>0</v>
      </c>
      <c r="AM40" s="166">
        <f t="shared" si="34"/>
        <v>14</v>
      </c>
      <c r="AN40" s="167">
        <f t="shared" si="30"/>
        <v>14</v>
      </c>
      <c r="AO40" s="168">
        <f t="shared" si="30"/>
        <v>15</v>
      </c>
      <c r="AP40" s="168">
        <f t="shared" si="30"/>
        <v>15</v>
      </c>
      <c r="AQ40" s="167">
        <f t="shared" si="30"/>
        <v>16</v>
      </c>
      <c r="AR40" s="167">
        <f t="shared" si="30"/>
        <v>16</v>
      </c>
      <c r="AS40" s="168">
        <f t="shared" si="30"/>
        <v>17</v>
      </c>
      <c r="AT40" s="169">
        <f t="shared" si="30"/>
        <v>17</v>
      </c>
      <c r="AU40" s="166">
        <f t="shared" si="35"/>
        <v>28</v>
      </c>
      <c r="AV40" s="167">
        <f t="shared" si="31"/>
        <v>28</v>
      </c>
      <c r="AW40" s="168">
        <f t="shared" si="31"/>
        <v>29</v>
      </c>
      <c r="AX40" s="168">
        <f t="shared" si="31"/>
        <v>29</v>
      </c>
      <c r="AY40" s="167">
        <f t="shared" si="31"/>
        <v>30</v>
      </c>
      <c r="AZ40" s="167">
        <f t="shared" si="31"/>
        <v>30</v>
      </c>
      <c r="BA40" s="168">
        <f t="shared" si="31"/>
        <v>31</v>
      </c>
      <c r="BB40" s="169">
        <f t="shared" si="31"/>
        <v>31</v>
      </c>
    </row>
    <row r="41" spans="1:54" x14ac:dyDescent="0.25">
      <c r="A41" s="144">
        <v>8</v>
      </c>
      <c r="B41" s="141">
        <v>0</v>
      </c>
      <c r="C41" s="141">
        <v>1</v>
      </c>
      <c r="D41" s="141">
        <v>2</v>
      </c>
      <c r="E41" s="142">
        <v>0</v>
      </c>
      <c r="F41" s="130">
        <f t="shared" si="25"/>
        <v>0</v>
      </c>
      <c r="G41" s="54">
        <f t="shared" si="26"/>
        <v>28</v>
      </c>
      <c r="H41" s="54">
        <f t="shared" si="26"/>
        <v>56</v>
      </c>
      <c r="I41" s="54">
        <f t="shared" si="26"/>
        <v>84</v>
      </c>
      <c r="J41" s="54">
        <f t="shared" si="26"/>
        <v>112</v>
      </c>
      <c r="K41" s="54">
        <f t="shared" si="26"/>
        <v>0</v>
      </c>
      <c r="L41" s="54">
        <f t="shared" si="26"/>
        <v>28</v>
      </c>
      <c r="M41" s="129">
        <f t="shared" si="26"/>
        <v>56</v>
      </c>
      <c r="N41" s="130">
        <f t="shared" si="32"/>
        <v>0</v>
      </c>
      <c r="O41" s="54">
        <f t="shared" si="27"/>
        <v>28</v>
      </c>
      <c r="P41" s="54">
        <f t="shared" si="27"/>
        <v>56</v>
      </c>
      <c r="Q41" s="54">
        <f t="shared" si="27"/>
        <v>84</v>
      </c>
      <c r="R41" s="54">
        <f t="shared" si="27"/>
        <v>112</v>
      </c>
      <c r="S41" s="54">
        <f t="shared" si="27"/>
        <v>140</v>
      </c>
      <c r="T41" s="54">
        <f t="shared" si="27"/>
        <v>168</v>
      </c>
      <c r="U41" s="131">
        <f t="shared" si="27"/>
        <v>196</v>
      </c>
      <c r="V41" s="130">
        <f t="shared" si="33"/>
        <v>0</v>
      </c>
      <c r="W41" s="54">
        <f t="shared" si="28"/>
        <v>28</v>
      </c>
      <c r="X41" s="54">
        <f t="shared" si="28"/>
        <v>56</v>
      </c>
      <c r="Y41" s="54">
        <f t="shared" si="28"/>
        <v>84</v>
      </c>
      <c r="Z41" s="54">
        <f t="shared" si="28"/>
        <v>112</v>
      </c>
      <c r="AA41" s="54">
        <f t="shared" si="28"/>
        <v>140</v>
      </c>
      <c r="AB41" s="54">
        <f t="shared" si="28"/>
        <v>168</v>
      </c>
      <c r="AC41" s="131">
        <f t="shared" si="28"/>
        <v>196</v>
      </c>
      <c r="AE41" s="130">
        <f t="shared" si="29"/>
        <v>0</v>
      </c>
      <c r="AF41" s="54">
        <f t="shared" si="29"/>
        <v>2</v>
      </c>
      <c r="AG41" s="54">
        <f t="shared" si="29"/>
        <v>4</v>
      </c>
      <c r="AH41" s="54">
        <f t="shared" si="29"/>
        <v>6</v>
      </c>
      <c r="AI41" s="54">
        <f t="shared" si="29"/>
        <v>8</v>
      </c>
      <c r="AJ41" s="54">
        <f t="shared" si="29"/>
        <v>0</v>
      </c>
      <c r="AK41" s="54">
        <f t="shared" si="29"/>
        <v>2</v>
      </c>
      <c r="AL41" s="131">
        <f t="shared" si="29"/>
        <v>4</v>
      </c>
      <c r="AM41" s="130">
        <f t="shared" si="34"/>
        <v>0</v>
      </c>
      <c r="AN41" s="54">
        <f t="shared" si="30"/>
        <v>2</v>
      </c>
      <c r="AO41" s="54">
        <f t="shared" si="30"/>
        <v>4</v>
      </c>
      <c r="AP41" s="54">
        <f t="shared" si="30"/>
        <v>6</v>
      </c>
      <c r="AQ41" s="54">
        <f t="shared" si="30"/>
        <v>8</v>
      </c>
      <c r="AR41" s="54">
        <f t="shared" si="30"/>
        <v>10</v>
      </c>
      <c r="AS41" s="54">
        <f t="shared" si="30"/>
        <v>12</v>
      </c>
      <c r="AT41" s="131">
        <f t="shared" si="30"/>
        <v>14</v>
      </c>
      <c r="AU41" s="130">
        <f t="shared" si="35"/>
        <v>0</v>
      </c>
      <c r="AV41" s="54">
        <f t="shared" si="31"/>
        <v>2</v>
      </c>
      <c r="AW41" s="54">
        <f t="shared" si="31"/>
        <v>4</v>
      </c>
      <c r="AX41" s="54">
        <f t="shared" si="31"/>
        <v>6</v>
      </c>
      <c r="AY41" s="54">
        <f t="shared" si="31"/>
        <v>8</v>
      </c>
      <c r="AZ41" s="54">
        <f t="shared" si="31"/>
        <v>10</v>
      </c>
      <c r="BA41" s="54">
        <f t="shared" si="31"/>
        <v>12</v>
      </c>
      <c r="BB41" s="131">
        <f t="shared" si="31"/>
        <v>14</v>
      </c>
    </row>
    <row r="42" spans="1:54" x14ac:dyDescent="0.25">
      <c r="A42" s="144">
        <v>9</v>
      </c>
      <c r="B42" s="141">
        <v>5</v>
      </c>
      <c r="C42" s="141">
        <v>1</v>
      </c>
      <c r="D42" s="141">
        <v>2</v>
      </c>
      <c r="E42" s="142">
        <v>0</v>
      </c>
      <c r="F42" s="130">
        <f t="shared" si="25"/>
        <v>70</v>
      </c>
      <c r="G42" s="54">
        <f t="shared" si="26"/>
        <v>98</v>
      </c>
      <c r="H42" s="54">
        <f t="shared" si="26"/>
        <v>126</v>
      </c>
      <c r="I42" s="54">
        <f t="shared" si="26"/>
        <v>14</v>
      </c>
      <c r="J42" s="54">
        <f t="shared" si="26"/>
        <v>42</v>
      </c>
      <c r="K42" s="54">
        <f t="shared" si="26"/>
        <v>70</v>
      </c>
      <c r="L42" s="54">
        <f t="shared" si="26"/>
        <v>98</v>
      </c>
      <c r="M42" s="129">
        <f t="shared" si="26"/>
        <v>126</v>
      </c>
      <c r="N42" s="130">
        <f t="shared" si="32"/>
        <v>140</v>
      </c>
      <c r="O42" s="54">
        <f t="shared" si="27"/>
        <v>168</v>
      </c>
      <c r="P42" s="54">
        <f t="shared" si="27"/>
        <v>196</v>
      </c>
      <c r="Q42" s="54">
        <f t="shared" si="27"/>
        <v>224</v>
      </c>
      <c r="R42" s="54">
        <f t="shared" si="27"/>
        <v>252</v>
      </c>
      <c r="S42" s="54">
        <f t="shared" si="27"/>
        <v>0</v>
      </c>
      <c r="T42" s="54">
        <f t="shared" si="27"/>
        <v>28</v>
      </c>
      <c r="U42" s="131">
        <f t="shared" si="27"/>
        <v>56</v>
      </c>
      <c r="V42" s="130">
        <f t="shared" si="33"/>
        <v>280</v>
      </c>
      <c r="W42" s="54">
        <f t="shared" si="28"/>
        <v>308</v>
      </c>
      <c r="X42" s="54">
        <f t="shared" si="28"/>
        <v>336</v>
      </c>
      <c r="Y42" s="54">
        <f t="shared" si="28"/>
        <v>364</v>
      </c>
      <c r="Z42" s="54">
        <f t="shared" si="28"/>
        <v>392</v>
      </c>
      <c r="AA42" s="54">
        <f t="shared" si="28"/>
        <v>420</v>
      </c>
      <c r="AB42" s="54">
        <f t="shared" si="28"/>
        <v>448</v>
      </c>
      <c r="AC42" s="131">
        <f t="shared" si="28"/>
        <v>476</v>
      </c>
      <c r="AE42" s="130">
        <f t="shared" si="29"/>
        <v>5</v>
      </c>
      <c r="AF42" s="54">
        <f t="shared" si="29"/>
        <v>7</v>
      </c>
      <c r="AG42" s="54">
        <f t="shared" si="29"/>
        <v>9</v>
      </c>
      <c r="AH42" s="54">
        <f t="shared" si="29"/>
        <v>1</v>
      </c>
      <c r="AI42" s="54">
        <f t="shared" si="29"/>
        <v>3</v>
      </c>
      <c r="AJ42" s="54">
        <f t="shared" si="29"/>
        <v>5</v>
      </c>
      <c r="AK42" s="54">
        <f t="shared" si="29"/>
        <v>7</v>
      </c>
      <c r="AL42" s="131">
        <f t="shared" si="29"/>
        <v>9</v>
      </c>
      <c r="AM42" s="130">
        <f t="shared" si="34"/>
        <v>10</v>
      </c>
      <c r="AN42" s="54">
        <f t="shared" si="30"/>
        <v>12</v>
      </c>
      <c r="AO42" s="54">
        <f t="shared" si="30"/>
        <v>14</v>
      </c>
      <c r="AP42" s="54">
        <f t="shared" si="30"/>
        <v>16</v>
      </c>
      <c r="AQ42" s="54">
        <f t="shared" si="30"/>
        <v>18</v>
      </c>
      <c r="AR42" s="54">
        <f t="shared" si="30"/>
        <v>0</v>
      </c>
      <c r="AS42" s="54">
        <f t="shared" si="30"/>
        <v>2</v>
      </c>
      <c r="AT42" s="131">
        <f t="shared" si="30"/>
        <v>4</v>
      </c>
      <c r="AU42" s="130">
        <f t="shared" si="35"/>
        <v>20</v>
      </c>
      <c r="AV42" s="54">
        <f t="shared" si="31"/>
        <v>22</v>
      </c>
      <c r="AW42" s="54">
        <f t="shared" si="31"/>
        <v>24</v>
      </c>
      <c r="AX42" s="54">
        <f t="shared" si="31"/>
        <v>26</v>
      </c>
      <c r="AY42" s="54">
        <f t="shared" si="31"/>
        <v>28</v>
      </c>
      <c r="AZ42" s="54">
        <f t="shared" si="31"/>
        <v>30</v>
      </c>
      <c r="BA42" s="54">
        <f t="shared" si="31"/>
        <v>32</v>
      </c>
      <c r="BB42" s="131">
        <f t="shared" si="31"/>
        <v>34</v>
      </c>
    </row>
    <row r="43" spans="1:54" x14ac:dyDescent="0.25">
      <c r="A43" s="144">
        <v>10</v>
      </c>
      <c r="B43" s="141">
        <v>0</v>
      </c>
      <c r="C43" s="141">
        <v>1</v>
      </c>
      <c r="D43" s="141">
        <v>1</v>
      </c>
      <c r="E43" s="142">
        <v>1</v>
      </c>
      <c r="F43" s="130">
        <f t="shared" si="25"/>
        <v>1</v>
      </c>
      <c r="G43" s="54">
        <f t="shared" si="26"/>
        <v>15</v>
      </c>
      <c r="H43" s="54">
        <f t="shared" si="26"/>
        <v>29</v>
      </c>
      <c r="I43" s="54">
        <f t="shared" si="26"/>
        <v>43</v>
      </c>
      <c r="J43" s="54">
        <f t="shared" si="26"/>
        <v>57</v>
      </c>
      <c r="K43" s="54">
        <f t="shared" si="26"/>
        <v>71</v>
      </c>
      <c r="L43" s="54">
        <f t="shared" si="26"/>
        <v>85</v>
      </c>
      <c r="M43" s="129">
        <f t="shared" si="26"/>
        <v>99</v>
      </c>
      <c r="N43" s="130">
        <f t="shared" si="32"/>
        <v>1</v>
      </c>
      <c r="O43" s="54">
        <f t="shared" si="27"/>
        <v>15</v>
      </c>
      <c r="P43" s="54">
        <f t="shared" si="27"/>
        <v>29</v>
      </c>
      <c r="Q43" s="54">
        <f t="shared" si="27"/>
        <v>43</v>
      </c>
      <c r="R43" s="54">
        <f t="shared" si="27"/>
        <v>57</v>
      </c>
      <c r="S43" s="54">
        <f t="shared" si="27"/>
        <v>71</v>
      </c>
      <c r="T43" s="54">
        <f t="shared" si="27"/>
        <v>85</v>
      </c>
      <c r="U43" s="131">
        <f t="shared" si="27"/>
        <v>99</v>
      </c>
      <c r="V43" s="130">
        <f t="shared" si="33"/>
        <v>1</v>
      </c>
      <c r="W43" s="54">
        <f t="shared" si="28"/>
        <v>15</v>
      </c>
      <c r="X43" s="54">
        <f t="shared" si="28"/>
        <v>29</v>
      </c>
      <c r="Y43" s="54">
        <f t="shared" si="28"/>
        <v>43</v>
      </c>
      <c r="Z43" s="54">
        <f t="shared" si="28"/>
        <v>57</v>
      </c>
      <c r="AA43" s="54">
        <f t="shared" si="28"/>
        <v>71</v>
      </c>
      <c r="AB43" s="54">
        <f t="shared" si="28"/>
        <v>85</v>
      </c>
      <c r="AC43" s="131">
        <f t="shared" si="28"/>
        <v>99</v>
      </c>
      <c r="AE43" s="130">
        <f t="shared" si="29"/>
        <v>0</v>
      </c>
      <c r="AF43" s="54">
        <f t="shared" si="29"/>
        <v>1</v>
      </c>
      <c r="AG43" s="54">
        <f t="shared" si="29"/>
        <v>2</v>
      </c>
      <c r="AH43" s="54">
        <f t="shared" si="29"/>
        <v>3</v>
      </c>
      <c r="AI43" s="54">
        <f t="shared" si="29"/>
        <v>4</v>
      </c>
      <c r="AJ43" s="54">
        <f t="shared" si="29"/>
        <v>5</v>
      </c>
      <c r="AK43" s="54">
        <f t="shared" si="29"/>
        <v>6</v>
      </c>
      <c r="AL43" s="131">
        <f t="shared" si="29"/>
        <v>7</v>
      </c>
      <c r="AM43" s="130">
        <f t="shared" si="34"/>
        <v>0</v>
      </c>
      <c r="AN43" s="54">
        <f t="shared" si="30"/>
        <v>1</v>
      </c>
      <c r="AO43" s="54">
        <f t="shared" si="30"/>
        <v>2</v>
      </c>
      <c r="AP43" s="54">
        <f t="shared" si="30"/>
        <v>3</v>
      </c>
      <c r="AQ43" s="54">
        <f t="shared" si="30"/>
        <v>4</v>
      </c>
      <c r="AR43" s="54">
        <f t="shared" si="30"/>
        <v>5</v>
      </c>
      <c r="AS43" s="54">
        <f t="shared" si="30"/>
        <v>6</v>
      </c>
      <c r="AT43" s="131">
        <f t="shared" si="30"/>
        <v>7</v>
      </c>
      <c r="AU43" s="130">
        <f t="shared" si="35"/>
        <v>0</v>
      </c>
      <c r="AV43" s="54">
        <f t="shared" si="31"/>
        <v>1</v>
      </c>
      <c r="AW43" s="54">
        <f t="shared" si="31"/>
        <v>2</v>
      </c>
      <c r="AX43" s="54">
        <f t="shared" si="31"/>
        <v>3</v>
      </c>
      <c r="AY43" s="54">
        <f t="shared" si="31"/>
        <v>4</v>
      </c>
      <c r="AZ43" s="54">
        <f t="shared" si="31"/>
        <v>5</v>
      </c>
      <c r="BA43" s="54">
        <f t="shared" si="31"/>
        <v>6</v>
      </c>
      <c r="BB43" s="131">
        <f t="shared" si="31"/>
        <v>7</v>
      </c>
    </row>
    <row r="44" spans="1:54" x14ac:dyDescent="0.25">
      <c r="A44" s="144">
        <v>11</v>
      </c>
      <c r="B44" s="141">
        <v>0</v>
      </c>
      <c r="C44" s="141">
        <v>1</v>
      </c>
      <c r="D44" s="141">
        <v>1</v>
      </c>
      <c r="E44" s="142">
        <v>2</v>
      </c>
      <c r="F44" s="130">
        <f t="shared" si="25"/>
        <v>2</v>
      </c>
      <c r="G44" s="54">
        <f t="shared" si="26"/>
        <v>16</v>
      </c>
      <c r="H44" s="54">
        <f t="shared" si="26"/>
        <v>30</v>
      </c>
      <c r="I44" s="54">
        <f t="shared" si="26"/>
        <v>44</v>
      </c>
      <c r="J44" s="54">
        <f t="shared" si="26"/>
        <v>58</v>
      </c>
      <c r="K44" s="54">
        <f t="shared" si="26"/>
        <v>72</v>
      </c>
      <c r="L44" s="54">
        <f t="shared" si="26"/>
        <v>86</v>
      </c>
      <c r="M44" s="129">
        <f t="shared" si="26"/>
        <v>100</v>
      </c>
      <c r="N44" s="130">
        <f t="shared" si="32"/>
        <v>2</v>
      </c>
      <c r="O44" s="54">
        <f t="shared" si="27"/>
        <v>16</v>
      </c>
      <c r="P44" s="54">
        <f t="shared" si="27"/>
        <v>30</v>
      </c>
      <c r="Q44" s="54">
        <f t="shared" si="27"/>
        <v>44</v>
      </c>
      <c r="R44" s="54">
        <f t="shared" si="27"/>
        <v>58</v>
      </c>
      <c r="S44" s="54">
        <f t="shared" si="27"/>
        <v>72</v>
      </c>
      <c r="T44" s="54">
        <f t="shared" si="27"/>
        <v>86</v>
      </c>
      <c r="U44" s="131">
        <f t="shared" si="27"/>
        <v>100</v>
      </c>
      <c r="V44" s="130">
        <f t="shared" si="33"/>
        <v>2</v>
      </c>
      <c r="W44" s="54">
        <f t="shared" si="28"/>
        <v>16</v>
      </c>
      <c r="X44" s="54">
        <f t="shared" si="28"/>
        <v>30</v>
      </c>
      <c r="Y44" s="54">
        <f>14*MOD($B44*2^$V$31+INT(Y$32*$D44),10*2^$V$31)+IF(ISNUMBER($E44),$E44,IF(ISEVEN(Y$32),0,$C$30))</f>
        <v>44</v>
      </c>
      <c r="Z44" s="54">
        <f t="shared" si="28"/>
        <v>58</v>
      </c>
      <c r="AA44" s="54">
        <f t="shared" si="28"/>
        <v>72</v>
      </c>
      <c r="AB44" s="54">
        <f t="shared" si="28"/>
        <v>86</v>
      </c>
      <c r="AC44" s="131">
        <f t="shared" si="28"/>
        <v>100</v>
      </c>
      <c r="AE44" s="130">
        <f t="shared" si="29"/>
        <v>0</v>
      </c>
      <c r="AF44" s="54">
        <f t="shared" si="29"/>
        <v>1</v>
      </c>
      <c r="AG44" s="54">
        <f t="shared" si="29"/>
        <v>2</v>
      </c>
      <c r="AH44" s="54">
        <f t="shared" si="29"/>
        <v>3</v>
      </c>
      <c r="AI44" s="54">
        <f t="shared" si="29"/>
        <v>4</v>
      </c>
      <c r="AJ44" s="54">
        <f t="shared" si="29"/>
        <v>5</v>
      </c>
      <c r="AK44" s="54">
        <f t="shared" si="29"/>
        <v>6</v>
      </c>
      <c r="AL44" s="131">
        <f t="shared" si="29"/>
        <v>7</v>
      </c>
      <c r="AM44" s="130">
        <f t="shared" si="34"/>
        <v>0</v>
      </c>
      <c r="AN44" s="54">
        <f t="shared" si="30"/>
        <v>1</v>
      </c>
      <c r="AO44" s="54">
        <f t="shared" si="30"/>
        <v>2</v>
      </c>
      <c r="AP44" s="54">
        <f t="shared" si="30"/>
        <v>3</v>
      </c>
      <c r="AQ44" s="54">
        <f t="shared" si="30"/>
        <v>4</v>
      </c>
      <c r="AR44" s="54">
        <f t="shared" si="30"/>
        <v>5</v>
      </c>
      <c r="AS44" s="54">
        <f t="shared" si="30"/>
        <v>6</v>
      </c>
      <c r="AT44" s="131">
        <f t="shared" si="30"/>
        <v>7</v>
      </c>
      <c r="AU44" s="130">
        <f t="shared" si="35"/>
        <v>0</v>
      </c>
      <c r="AV44" s="54">
        <f t="shared" si="31"/>
        <v>1</v>
      </c>
      <c r="AW44" s="54">
        <f t="shared" si="31"/>
        <v>2</v>
      </c>
      <c r="AX44" s="54">
        <f t="shared" si="31"/>
        <v>3</v>
      </c>
      <c r="AY44" s="54">
        <f t="shared" si="31"/>
        <v>4</v>
      </c>
      <c r="AZ44" s="54">
        <f t="shared" si="31"/>
        <v>5</v>
      </c>
      <c r="BA44" s="54">
        <f t="shared" si="31"/>
        <v>6</v>
      </c>
      <c r="BB44" s="131">
        <f t="shared" si="31"/>
        <v>7</v>
      </c>
    </row>
    <row r="45" spans="1:54" x14ac:dyDescent="0.25">
      <c r="A45" s="144">
        <v>12</v>
      </c>
      <c r="B45" s="141">
        <v>2</v>
      </c>
      <c r="C45" s="141">
        <v>1</v>
      </c>
      <c r="D45" s="141">
        <v>1</v>
      </c>
      <c r="E45" s="142">
        <v>1</v>
      </c>
      <c r="F45" s="130">
        <f t="shared" si="25"/>
        <v>29</v>
      </c>
      <c r="G45" s="54">
        <f t="shared" si="26"/>
        <v>43</v>
      </c>
      <c r="H45" s="54">
        <f t="shared" si="26"/>
        <v>57</v>
      </c>
      <c r="I45" s="54">
        <f t="shared" si="26"/>
        <v>71</v>
      </c>
      <c r="J45" s="54">
        <f t="shared" si="26"/>
        <v>85</v>
      </c>
      <c r="K45" s="54">
        <f t="shared" si="26"/>
        <v>99</v>
      </c>
      <c r="L45" s="54">
        <f t="shared" si="26"/>
        <v>113</v>
      </c>
      <c r="M45" s="129">
        <f t="shared" si="26"/>
        <v>127</v>
      </c>
      <c r="N45" s="130">
        <f t="shared" si="32"/>
        <v>57</v>
      </c>
      <c r="O45" s="54">
        <f t="shared" si="27"/>
        <v>71</v>
      </c>
      <c r="P45" s="54">
        <f t="shared" si="27"/>
        <v>85</v>
      </c>
      <c r="Q45" s="54">
        <f t="shared" si="27"/>
        <v>99</v>
      </c>
      <c r="R45" s="54">
        <f t="shared" si="27"/>
        <v>113</v>
      </c>
      <c r="S45" s="54">
        <f t="shared" si="27"/>
        <v>127</v>
      </c>
      <c r="T45" s="54">
        <f t="shared" si="27"/>
        <v>141</v>
      </c>
      <c r="U45" s="131">
        <f t="shared" si="27"/>
        <v>155</v>
      </c>
      <c r="V45" s="130">
        <f t="shared" si="33"/>
        <v>113</v>
      </c>
      <c r="W45" s="54">
        <f t="shared" si="28"/>
        <v>127</v>
      </c>
      <c r="X45" s="54">
        <f t="shared" si="28"/>
        <v>141</v>
      </c>
      <c r="Y45" s="54">
        <f t="shared" si="28"/>
        <v>155</v>
      </c>
      <c r="Z45" s="54">
        <f t="shared" si="28"/>
        <v>169</v>
      </c>
      <c r="AA45" s="54">
        <f t="shared" si="28"/>
        <v>183</v>
      </c>
      <c r="AB45" s="54">
        <f t="shared" si="28"/>
        <v>197</v>
      </c>
      <c r="AC45" s="131">
        <f t="shared" si="28"/>
        <v>211</v>
      </c>
      <c r="AE45" s="130">
        <f t="shared" si="29"/>
        <v>2</v>
      </c>
      <c r="AF45" s="54">
        <f t="shared" si="29"/>
        <v>3</v>
      </c>
      <c r="AG45" s="54">
        <f t="shared" si="29"/>
        <v>4</v>
      </c>
      <c r="AH45" s="54">
        <f t="shared" si="29"/>
        <v>5</v>
      </c>
      <c r="AI45" s="54">
        <f t="shared" si="29"/>
        <v>6</v>
      </c>
      <c r="AJ45" s="54">
        <f t="shared" si="29"/>
        <v>7</v>
      </c>
      <c r="AK45" s="54">
        <f t="shared" si="29"/>
        <v>8</v>
      </c>
      <c r="AL45" s="131">
        <f t="shared" si="29"/>
        <v>9</v>
      </c>
      <c r="AM45" s="130">
        <f t="shared" si="34"/>
        <v>4</v>
      </c>
      <c r="AN45" s="54">
        <f t="shared" si="30"/>
        <v>5</v>
      </c>
      <c r="AO45" s="54">
        <f t="shared" si="30"/>
        <v>6</v>
      </c>
      <c r="AP45" s="54">
        <f t="shared" si="30"/>
        <v>7</v>
      </c>
      <c r="AQ45" s="54">
        <f t="shared" si="30"/>
        <v>8</v>
      </c>
      <c r="AR45" s="54">
        <f t="shared" si="30"/>
        <v>9</v>
      </c>
      <c r="AS45" s="54">
        <f t="shared" si="30"/>
        <v>10</v>
      </c>
      <c r="AT45" s="131">
        <f t="shared" si="30"/>
        <v>11</v>
      </c>
      <c r="AU45" s="130">
        <f t="shared" si="35"/>
        <v>8</v>
      </c>
      <c r="AV45" s="54">
        <f t="shared" si="31"/>
        <v>9</v>
      </c>
      <c r="AW45" s="54">
        <f t="shared" si="31"/>
        <v>10</v>
      </c>
      <c r="AX45" s="54">
        <f t="shared" si="31"/>
        <v>11</v>
      </c>
      <c r="AY45" s="54">
        <f t="shared" si="31"/>
        <v>12</v>
      </c>
      <c r="AZ45" s="54">
        <f t="shared" si="31"/>
        <v>13</v>
      </c>
      <c r="BA45" s="54">
        <f t="shared" si="31"/>
        <v>14</v>
      </c>
      <c r="BB45" s="131">
        <f t="shared" si="31"/>
        <v>15</v>
      </c>
    </row>
    <row r="46" spans="1:54" x14ac:dyDescent="0.25">
      <c r="A46" s="144">
        <v>13</v>
      </c>
      <c r="B46" s="141">
        <v>2</v>
      </c>
      <c r="C46" s="141">
        <v>1</v>
      </c>
      <c r="D46" s="141">
        <v>1</v>
      </c>
      <c r="E46" s="142">
        <v>2</v>
      </c>
      <c r="F46" s="130">
        <f t="shared" si="25"/>
        <v>30</v>
      </c>
      <c r="G46" s="54">
        <f t="shared" si="26"/>
        <v>44</v>
      </c>
      <c r="H46" s="54">
        <f t="shared" si="26"/>
        <v>58</v>
      </c>
      <c r="I46" s="54">
        <f t="shared" si="26"/>
        <v>72</v>
      </c>
      <c r="J46" s="54">
        <f t="shared" si="26"/>
        <v>86</v>
      </c>
      <c r="K46" s="54">
        <f t="shared" si="26"/>
        <v>100</v>
      </c>
      <c r="L46" s="54">
        <f t="shared" si="26"/>
        <v>114</v>
      </c>
      <c r="M46" s="129">
        <f t="shared" si="26"/>
        <v>128</v>
      </c>
      <c r="N46" s="130">
        <f t="shared" si="32"/>
        <v>58</v>
      </c>
      <c r="O46" s="54">
        <f t="shared" si="27"/>
        <v>72</v>
      </c>
      <c r="P46" s="54">
        <f t="shared" si="27"/>
        <v>86</v>
      </c>
      <c r="Q46" s="54">
        <f t="shared" si="27"/>
        <v>100</v>
      </c>
      <c r="R46" s="54">
        <f t="shared" si="27"/>
        <v>114</v>
      </c>
      <c r="S46" s="54">
        <f t="shared" si="27"/>
        <v>128</v>
      </c>
      <c r="T46" s="54">
        <f t="shared" si="27"/>
        <v>142</v>
      </c>
      <c r="U46" s="131">
        <f t="shared" si="27"/>
        <v>156</v>
      </c>
      <c r="V46" s="130">
        <f t="shared" si="33"/>
        <v>114</v>
      </c>
      <c r="W46" s="54">
        <f t="shared" si="28"/>
        <v>128</v>
      </c>
      <c r="X46" s="54">
        <f t="shared" si="28"/>
        <v>142</v>
      </c>
      <c r="Y46" s="54">
        <f t="shared" si="28"/>
        <v>156</v>
      </c>
      <c r="Z46" s="54">
        <f t="shared" si="28"/>
        <v>170</v>
      </c>
      <c r="AA46" s="54">
        <f t="shared" si="28"/>
        <v>184</v>
      </c>
      <c r="AB46" s="54">
        <f t="shared" si="28"/>
        <v>198</v>
      </c>
      <c r="AC46" s="131">
        <f t="shared" si="28"/>
        <v>212</v>
      </c>
      <c r="AE46" s="130">
        <f t="shared" si="29"/>
        <v>2</v>
      </c>
      <c r="AF46" s="54">
        <f t="shared" si="29"/>
        <v>3</v>
      </c>
      <c r="AG46" s="54">
        <f t="shared" si="29"/>
        <v>4</v>
      </c>
      <c r="AH46" s="54">
        <f t="shared" si="29"/>
        <v>5</v>
      </c>
      <c r="AI46" s="54">
        <f t="shared" si="29"/>
        <v>6</v>
      </c>
      <c r="AJ46" s="54">
        <f t="shared" si="29"/>
        <v>7</v>
      </c>
      <c r="AK46" s="54">
        <f t="shared" si="29"/>
        <v>8</v>
      </c>
      <c r="AL46" s="131">
        <f t="shared" si="29"/>
        <v>9</v>
      </c>
      <c r="AM46" s="130">
        <f t="shared" si="34"/>
        <v>4</v>
      </c>
      <c r="AN46" s="54">
        <f t="shared" si="30"/>
        <v>5</v>
      </c>
      <c r="AO46" s="54">
        <f t="shared" si="30"/>
        <v>6</v>
      </c>
      <c r="AP46" s="54">
        <f t="shared" si="30"/>
        <v>7</v>
      </c>
      <c r="AQ46" s="54">
        <f t="shared" si="30"/>
        <v>8</v>
      </c>
      <c r="AR46" s="54">
        <f t="shared" si="30"/>
        <v>9</v>
      </c>
      <c r="AS46" s="54">
        <f t="shared" si="30"/>
        <v>10</v>
      </c>
      <c r="AT46" s="131">
        <f t="shared" si="30"/>
        <v>11</v>
      </c>
      <c r="AU46" s="130">
        <f t="shared" si="35"/>
        <v>8</v>
      </c>
      <c r="AV46" s="54">
        <f t="shared" si="31"/>
        <v>9</v>
      </c>
      <c r="AW46" s="54">
        <f t="shared" si="31"/>
        <v>10</v>
      </c>
      <c r="AX46" s="54">
        <f t="shared" si="31"/>
        <v>11</v>
      </c>
      <c r="AY46" s="54">
        <f t="shared" si="31"/>
        <v>12</v>
      </c>
      <c r="AZ46" s="54">
        <f t="shared" si="31"/>
        <v>13</v>
      </c>
      <c r="BA46" s="54">
        <f t="shared" si="31"/>
        <v>14</v>
      </c>
      <c r="BB46" s="131">
        <f t="shared" si="31"/>
        <v>15</v>
      </c>
    </row>
    <row r="47" spans="1:54" x14ac:dyDescent="0.25">
      <c r="A47" s="144">
        <v>14</v>
      </c>
      <c r="B47" s="141">
        <v>5</v>
      </c>
      <c r="C47" s="141">
        <v>1</v>
      </c>
      <c r="D47" s="141">
        <v>1</v>
      </c>
      <c r="E47" s="142">
        <v>1</v>
      </c>
      <c r="F47" s="130">
        <f t="shared" si="25"/>
        <v>71</v>
      </c>
      <c r="G47" s="54">
        <f t="shared" si="26"/>
        <v>85</v>
      </c>
      <c r="H47" s="54">
        <f t="shared" si="26"/>
        <v>99</v>
      </c>
      <c r="I47" s="54">
        <f t="shared" si="26"/>
        <v>113</v>
      </c>
      <c r="J47" s="54">
        <f t="shared" si="26"/>
        <v>127</v>
      </c>
      <c r="K47" s="54">
        <f t="shared" si="26"/>
        <v>1</v>
      </c>
      <c r="L47" s="54">
        <f t="shared" si="26"/>
        <v>15</v>
      </c>
      <c r="M47" s="129">
        <f t="shared" si="26"/>
        <v>29</v>
      </c>
      <c r="N47" s="130">
        <f t="shared" si="32"/>
        <v>141</v>
      </c>
      <c r="O47" s="54">
        <f t="shared" si="27"/>
        <v>155</v>
      </c>
      <c r="P47" s="54">
        <f t="shared" si="27"/>
        <v>169</v>
      </c>
      <c r="Q47" s="54">
        <f t="shared" si="27"/>
        <v>183</v>
      </c>
      <c r="R47" s="54">
        <f t="shared" si="27"/>
        <v>197</v>
      </c>
      <c r="S47" s="54">
        <f t="shared" si="27"/>
        <v>211</v>
      </c>
      <c r="T47" s="54">
        <f t="shared" si="27"/>
        <v>225</v>
      </c>
      <c r="U47" s="131">
        <f t="shared" si="27"/>
        <v>239</v>
      </c>
      <c r="V47" s="130">
        <f t="shared" si="33"/>
        <v>281</v>
      </c>
      <c r="W47" s="54">
        <f t="shared" si="28"/>
        <v>295</v>
      </c>
      <c r="X47" s="54">
        <f t="shared" si="28"/>
        <v>309</v>
      </c>
      <c r="Y47" s="54">
        <f t="shared" si="28"/>
        <v>323</v>
      </c>
      <c r="Z47" s="54">
        <f t="shared" si="28"/>
        <v>337</v>
      </c>
      <c r="AA47" s="54">
        <f t="shared" si="28"/>
        <v>351</v>
      </c>
      <c r="AB47" s="54">
        <f t="shared" si="28"/>
        <v>365</v>
      </c>
      <c r="AC47" s="131">
        <f t="shared" si="28"/>
        <v>379</v>
      </c>
      <c r="AE47" s="130">
        <f t="shared" si="29"/>
        <v>5</v>
      </c>
      <c r="AF47" s="54">
        <f t="shared" si="29"/>
        <v>6</v>
      </c>
      <c r="AG47" s="54">
        <f t="shared" si="29"/>
        <v>7</v>
      </c>
      <c r="AH47" s="54">
        <f t="shared" si="29"/>
        <v>8</v>
      </c>
      <c r="AI47" s="54">
        <f t="shared" si="29"/>
        <v>9</v>
      </c>
      <c r="AJ47" s="54">
        <f t="shared" si="29"/>
        <v>0</v>
      </c>
      <c r="AK47" s="54">
        <f t="shared" si="29"/>
        <v>1</v>
      </c>
      <c r="AL47" s="131">
        <f t="shared" si="29"/>
        <v>2</v>
      </c>
      <c r="AM47" s="130">
        <f t="shared" si="34"/>
        <v>10</v>
      </c>
      <c r="AN47" s="54">
        <f t="shared" si="30"/>
        <v>11</v>
      </c>
      <c r="AO47" s="54">
        <f t="shared" si="30"/>
        <v>12</v>
      </c>
      <c r="AP47" s="54">
        <f t="shared" si="30"/>
        <v>13</v>
      </c>
      <c r="AQ47" s="54">
        <f t="shared" si="30"/>
        <v>14</v>
      </c>
      <c r="AR47" s="54">
        <f t="shared" si="30"/>
        <v>15</v>
      </c>
      <c r="AS47" s="54">
        <f t="shared" si="30"/>
        <v>16</v>
      </c>
      <c r="AT47" s="131">
        <f t="shared" si="30"/>
        <v>17</v>
      </c>
      <c r="AU47" s="130">
        <f t="shared" si="35"/>
        <v>20</v>
      </c>
      <c r="AV47" s="54">
        <f t="shared" si="31"/>
        <v>21</v>
      </c>
      <c r="AW47" s="54">
        <f t="shared" si="31"/>
        <v>22</v>
      </c>
      <c r="AX47" s="54">
        <f t="shared" si="31"/>
        <v>23</v>
      </c>
      <c r="AY47" s="54">
        <f t="shared" si="31"/>
        <v>24</v>
      </c>
      <c r="AZ47" s="54">
        <f t="shared" si="31"/>
        <v>25</v>
      </c>
      <c r="BA47" s="54">
        <f t="shared" si="31"/>
        <v>26</v>
      </c>
      <c r="BB47" s="131">
        <f t="shared" si="31"/>
        <v>27</v>
      </c>
    </row>
    <row r="48" spans="1:54" ht="15.75" thickBot="1" x14ac:dyDescent="0.3">
      <c r="A48" s="145">
        <v>15</v>
      </c>
      <c r="B48" s="146">
        <v>5</v>
      </c>
      <c r="C48" s="146">
        <v>1</v>
      </c>
      <c r="D48" s="146">
        <v>1</v>
      </c>
      <c r="E48" s="177">
        <v>2</v>
      </c>
      <c r="F48" s="132">
        <f t="shared" si="25"/>
        <v>72</v>
      </c>
      <c r="G48" s="133">
        <f t="shared" si="26"/>
        <v>86</v>
      </c>
      <c r="H48" s="133">
        <f t="shared" si="26"/>
        <v>100</v>
      </c>
      <c r="I48" s="133">
        <f t="shared" si="26"/>
        <v>114</v>
      </c>
      <c r="J48" s="133">
        <f t="shared" si="26"/>
        <v>128</v>
      </c>
      <c r="K48" s="133">
        <f t="shared" si="26"/>
        <v>2</v>
      </c>
      <c r="L48" s="133">
        <f t="shared" si="26"/>
        <v>16</v>
      </c>
      <c r="M48" s="183">
        <f t="shared" si="26"/>
        <v>30</v>
      </c>
      <c r="N48" s="132">
        <f t="shared" si="32"/>
        <v>142</v>
      </c>
      <c r="O48" s="133">
        <f t="shared" si="27"/>
        <v>156</v>
      </c>
      <c r="P48" s="133">
        <f t="shared" si="27"/>
        <v>170</v>
      </c>
      <c r="Q48" s="133">
        <f t="shared" si="27"/>
        <v>184</v>
      </c>
      <c r="R48" s="133">
        <f t="shared" si="27"/>
        <v>198</v>
      </c>
      <c r="S48" s="133">
        <f t="shared" si="27"/>
        <v>212</v>
      </c>
      <c r="T48" s="133">
        <f t="shared" si="27"/>
        <v>226</v>
      </c>
      <c r="U48" s="134">
        <f t="shared" si="27"/>
        <v>240</v>
      </c>
      <c r="V48" s="132">
        <f t="shared" si="33"/>
        <v>282</v>
      </c>
      <c r="W48" s="133">
        <f t="shared" si="28"/>
        <v>296</v>
      </c>
      <c r="X48" s="133">
        <f t="shared" si="28"/>
        <v>310</v>
      </c>
      <c r="Y48" s="133">
        <f t="shared" si="28"/>
        <v>324</v>
      </c>
      <c r="Z48" s="133">
        <f t="shared" si="28"/>
        <v>338</v>
      </c>
      <c r="AA48" s="133">
        <f t="shared" si="28"/>
        <v>352</v>
      </c>
      <c r="AB48" s="133">
        <f t="shared" si="28"/>
        <v>366</v>
      </c>
      <c r="AC48" s="134">
        <f t="shared" si="28"/>
        <v>380</v>
      </c>
      <c r="AE48" s="132">
        <f t="shared" si="29"/>
        <v>5</v>
      </c>
      <c r="AF48" s="133">
        <f t="shared" si="29"/>
        <v>6</v>
      </c>
      <c r="AG48" s="133">
        <f t="shared" si="29"/>
        <v>7</v>
      </c>
      <c r="AH48" s="133">
        <f t="shared" si="29"/>
        <v>8</v>
      </c>
      <c r="AI48" s="133">
        <f t="shared" si="29"/>
        <v>9</v>
      </c>
      <c r="AJ48" s="133">
        <f t="shared" si="29"/>
        <v>0</v>
      </c>
      <c r="AK48" s="133">
        <f t="shared" si="29"/>
        <v>1</v>
      </c>
      <c r="AL48" s="134">
        <f t="shared" si="29"/>
        <v>2</v>
      </c>
      <c r="AM48" s="132">
        <f t="shared" si="34"/>
        <v>10</v>
      </c>
      <c r="AN48" s="133">
        <f t="shared" si="30"/>
        <v>11</v>
      </c>
      <c r="AO48" s="133">
        <f t="shared" si="30"/>
        <v>12</v>
      </c>
      <c r="AP48" s="133">
        <f t="shared" si="30"/>
        <v>13</v>
      </c>
      <c r="AQ48" s="133">
        <f t="shared" si="30"/>
        <v>14</v>
      </c>
      <c r="AR48" s="133">
        <f t="shared" si="30"/>
        <v>15</v>
      </c>
      <c r="AS48" s="133">
        <f t="shared" si="30"/>
        <v>16</v>
      </c>
      <c r="AT48" s="134">
        <f t="shared" si="30"/>
        <v>17</v>
      </c>
      <c r="AU48" s="132">
        <f t="shared" si="35"/>
        <v>20</v>
      </c>
      <c r="AV48" s="133">
        <f t="shared" si="31"/>
        <v>21</v>
      </c>
      <c r="AW48" s="133">
        <f t="shared" si="31"/>
        <v>22</v>
      </c>
      <c r="AX48" s="133">
        <f t="shared" si="31"/>
        <v>23</v>
      </c>
      <c r="AY48" s="133">
        <f t="shared" si="31"/>
        <v>24</v>
      </c>
      <c r="AZ48" s="133">
        <f t="shared" si="31"/>
        <v>25</v>
      </c>
      <c r="BA48" s="133">
        <f t="shared" si="31"/>
        <v>26</v>
      </c>
      <c r="BB48" s="134">
        <f t="shared" si="31"/>
        <v>27</v>
      </c>
    </row>
    <row r="50" spans="1:70" ht="15.75" thickBot="1" x14ac:dyDescent="0.3">
      <c r="A50" s="184" t="s">
        <v>222</v>
      </c>
      <c r="B50" s="185"/>
      <c r="C50" s="185"/>
      <c r="D50" s="185"/>
      <c r="E50" s="185"/>
      <c r="F50" s="185"/>
    </row>
    <row r="51" spans="1:70" ht="15.75" thickBot="1" x14ac:dyDescent="0.3">
      <c r="A51" s="159" t="s">
        <v>209</v>
      </c>
      <c r="B51" s="160"/>
      <c r="C51" s="161">
        <v>3</v>
      </c>
      <c r="F51" s="233" t="s">
        <v>208</v>
      </c>
      <c r="G51" s="234"/>
      <c r="H51" s="234"/>
      <c r="I51" s="234"/>
      <c r="J51" s="234"/>
      <c r="K51" s="234"/>
      <c r="L51" s="234"/>
      <c r="M51" s="234"/>
      <c r="N51" s="234"/>
      <c r="O51" s="234"/>
      <c r="P51" s="234"/>
      <c r="Q51" s="234"/>
      <c r="R51" s="234"/>
      <c r="S51" s="234"/>
      <c r="T51" s="234"/>
      <c r="U51" s="234"/>
      <c r="V51" s="234"/>
      <c r="W51" s="234"/>
      <c r="X51" s="234"/>
      <c r="Y51" s="234"/>
      <c r="Z51" s="234"/>
      <c r="AA51" s="234"/>
      <c r="AB51" s="234"/>
      <c r="AC51" s="234"/>
      <c r="AD51" s="234"/>
      <c r="AE51" s="234"/>
      <c r="AF51" s="234"/>
      <c r="AG51" s="234"/>
      <c r="AH51" s="234"/>
      <c r="AI51" s="234"/>
      <c r="AJ51" s="234"/>
      <c r="AK51" s="234"/>
      <c r="AL51" s="234"/>
      <c r="AM51" s="234"/>
      <c r="AN51" s="234"/>
      <c r="AO51" s="234"/>
      <c r="AP51" s="234"/>
      <c r="AQ51" s="234"/>
      <c r="AR51" s="234"/>
      <c r="AS51" s="234"/>
      <c r="AT51" s="234"/>
      <c r="AU51" s="234"/>
      <c r="AV51" s="234"/>
      <c r="AW51" s="234"/>
      <c r="AX51" s="234"/>
      <c r="AY51" s="234"/>
      <c r="AZ51" s="234"/>
      <c r="BA51" s="234"/>
      <c r="BB51" s="234"/>
      <c r="BC51" s="234"/>
      <c r="BD51" s="234"/>
      <c r="BE51" s="234"/>
      <c r="BF51" s="234"/>
      <c r="BG51" s="234"/>
      <c r="BH51" s="234"/>
      <c r="BI51" s="234"/>
      <c r="BJ51" s="234"/>
      <c r="BK51" s="234"/>
      <c r="BL51" s="234"/>
      <c r="BM51" s="234"/>
      <c r="BN51" s="234"/>
      <c r="BO51" s="234"/>
      <c r="BP51" s="234"/>
      <c r="BQ51" s="235"/>
    </row>
    <row r="52" spans="1:70" ht="15.75" thickBot="1" x14ac:dyDescent="0.3">
      <c r="F52" s="233">
        <v>3</v>
      </c>
      <c r="G52" s="234"/>
      <c r="H52" s="234"/>
      <c r="I52" s="234"/>
      <c r="J52" s="234"/>
      <c r="K52" s="234"/>
      <c r="L52" s="234"/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  <c r="X52" s="234"/>
      <c r="Y52" s="234"/>
      <c r="Z52" s="234"/>
      <c r="AA52" s="234"/>
      <c r="AB52" s="234"/>
      <c r="AC52" s="234"/>
      <c r="AD52" s="234"/>
      <c r="AE52" s="234"/>
      <c r="AF52" s="234"/>
      <c r="AG52" s="234"/>
      <c r="AH52" s="234"/>
      <c r="AI52" s="234"/>
      <c r="AJ52" s="234"/>
      <c r="AK52" s="234"/>
      <c r="AL52" s="234"/>
      <c r="AM52" s="234"/>
      <c r="AN52" s="234"/>
      <c r="AO52" s="234"/>
      <c r="AP52" s="234"/>
      <c r="AQ52" s="234"/>
      <c r="AR52" s="234"/>
      <c r="AS52" s="234"/>
      <c r="AT52" s="234"/>
      <c r="AU52" s="234"/>
      <c r="AV52" s="234"/>
      <c r="AW52" s="234"/>
      <c r="AX52" s="234"/>
      <c r="AY52" s="234"/>
      <c r="AZ52" s="234"/>
      <c r="BA52" s="234"/>
      <c r="BB52" s="234"/>
      <c r="BC52" s="234"/>
      <c r="BD52" s="234"/>
      <c r="BE52" s="234"/>
      <c r="BF52" s="234"/>
      <c r="BG52" s="234"/>
      <c r="BH52" s="234"/>
      <c r="BI52" s="234"/>
      <c r="BJ52" s="234"/>
      <c r="BK52" s="234"/>
      <c r="BL52" s="234"/>
      <c r="BM52" s="234"/>
      <c r="BN52" s="234"/>
      <c r="BO52" s="234"/>
      <c r="BP52" s="234"/>
      <c r="BQ52" s="235"/>
      <c r="BR52" s="33" t="s">
        <v>213</v>
      </c>
    </row>
    <row r="53" spans="1:70" ht="45.75" thickBot="1" x14ac:dyDescent="0.3">
      <c r="A53" s="149" t="s">
        <v>199</v>
      </c>
      <c r="B53" s="150" t="s">
        <v>200</v>
      </c>
      <c r="C53" s="150" t="s">
        <v>201</v>
      </c>
      <c r="D53" s="150" t="s">
        <v>202</v>
      </c>
      <c r="E53" s="151" t="s">
        <v>206</v>
      </c>
      <c r="F53" s="138">
        <v>0</v>
      </c>
      <c r="G53" s="139">
        <f t="shared" ref="G53:M53" si="36">F53+1</f>
        <v>1</v>
      </c>
      <c r="H53" s="139">
        <f t="shared" si="36"/>
        <v>2</v>
      </c>
      <c r="I53" s="139">
        <f t="shared" si="36"/>
        <v>3</v>
      </c>
      <c r="J53" s="139">
        <f t="shared" si="36"/>
        <v>4</v>
      </c>
      <c r="K53" s="139">
        <f t="shared" si="36"/>
        <v>5</v>
      </c>
      <c r="L53" s="139">
        <f t="shared" si="36"/>
        <v>6</v>
      </c>
      <c r="M53" s="139">
        <f t="shared" si="36"/>
        <v>7</v>
      </c>
      <c r="N53" s="139">
        <f>M53+1</f>
        <v>8</v>
      </c>
      <c r="O53" s="139">
        <f t="shared" ref="O53:BQ53" si="37">N53+1</f>
        <v>9</v>
      </c>
      <c r="P53" s="139">
        <f t="shared" si="37"/>
        <v>10</v>
      </c>
      <c r="Q53" s="139">
        <f t="shared" si="37"/>
        <v>11</v>
      </c>
      <c r="R53" s="139">
        <f t="shared" si="37"/>
        <v>12</v>
      </c>
      <c r="S53" s="139">
        <f t="shared" si="37"/>
        <v>13</v>
      </c>
      <c r="T53" s="139">
        <f t="shared" si="37"/>
        <v>14</v>
      </c>
      <c r="U53" s="139">
        <f t="shared" si="37"/>
        <v>15</v>
      </c>
      <c r="V53" s="139">
        <f t="shared" si="37"/>
        <v>16</v>
      </c>
      <c r="W53" s="139">
        <f t="shared" si="37"/>
        <v>17</v>
      </c>
      <c r="X53" s="139">
        <f t="shared" si="37"/>
        <v>18</v>
      </c>
      <c r="Y53" s="139">
        <f t="shared" si="37"/>
        <v>19</v>
      </c>
      <c r="Z53" s="139">
        <f t="shared" si="37"/>
        <v>20</v>
      </c>
      <c r="AA53" s="139">
        <f t="shared" si="37"/>
        <v>21</v>
      </c>
      <c r="AB53" s="139">
        <f t="shared" si="37"/>
        <v>22</v>
      </c>
      <c r="AC53" s="139">
        <f t="shared" si="37"/>
        <v>23</v>
      </c>
      <c r="AD53" s="139">
        <f t="shared" si="37"/>
        <v>24</v>
      </c>
      <c r="AE53" s="139">
        <f t="shared" si="37"/>
        <v>25</v>
      </c>
      <c r="AF53" s="139">
        <f t="shared" si="37"/>
        <v>26</v>
      </c>
      <c r="AG53" s="139">
        <f t="shared" si="37"/>
        <v>27</v>
      </c>
      <c r="AH53" s="139">
        <f t="shared" si="37"/>
        <v>28</v>
      </c>
      <c r="AI53" s="139">
        <f t="shared" si="37"/>
        <v>29</v>
      </c>
      <c r="AJ53" s="139">
        <f t="shared" si="37"/>
        <v>30</v>
      </c>
      <c r="AK53" s="139">
        <f t="shared" si="37"/>
        <v>31</v>
      </c>
      <c r="AL53" s="139">
        <f t="shared" si="37"/>
        <v>32</v>
      </c>
      <c r="AM53" s="139">
        <f t="shared" si="37"/>
        <v>33</v>
      </c>
      <c r="AN53" s="139">
        <f t="shared" si="37"/>
        <v>34</v>
      </c>
      <c r="AO53" s="139">
        <f t="shared" si="37"/>
        <v>35</v>
      </c>
      <c r="AP53" s="139">
        <f t="shared" si="37"/>
        <v>36</v>
      </c>
      <c r="AQ53" s="139">
        <f t="shared" si="37"/>
        <v>37</v>
      </c>
      <c r="AR53" s="139">
        <f t="shared" si="37"/>
        <v>38</v>
      </c>
      <c r="AS53" s="139">
        <f t="shared" si="37"/>
        <v>39</v>
      </c>
      <c r="AT53" s="139">
        <f t="shared" si="37"/>
        <v>40</v>
      </c>
      <c r="AU53" s="139">
        <f t="shared" si="37"/>
        <v>41</v>
      </c>
      <c r="AV53" s="139">
        <f t="shared" si="37"/>
        <v>42</v>
      </c>
      <c r="AW53" s="139">
        <f t="shared" si="37"/>
        <v>43</v>
      </c>
      <c r="AX53" s="139">
        <f t="shared" si="37"/>
        <v>44</v>
      </c>
      <c r="AY53" s="139">
        <f t="shared" si="37"/>
        <v>45</v>
      </c>
      <c r="AZ53" s="139">
        <f t="shared" si="37"/>
        <v>46</v>
      </c>
      <c r="BA53" s="139">
        <f t="shared" si="37"/>
        <v>47</v>
      </c>
      <c r="BB53" s="139">
        <f t="shared" si="37"/>
        <v>48</v>
      </c>
      <c r="BC53" s="139">
        <f t="shared" si="37"/>
        <v>49</v>
      </c>
      <c r="BD53" s="139">
        <f t="shared" si="37"/>
        <v>50</v>
      </c>
      <c r="BE53" s="139">
        <f t="shared" si="37"/>
        <v>51</v>
      </c>
      <c r="BF53" s="139">
        <f t="shared" si="37"/>
        <v>52</v>
      </c>
      <c r="BG53" s="139">
        <f t="shared" si="37"/>
        <v>53</v>
      </c>
      <c r="BH53" s="139">
        <f t="shared" si="37"/>
        <v>54</v>
      </c>
      <c r="BI53" s="139">
        <f t="shared" si="37"/>
        <v>55</v>
      </c>
      <c r="BJ53" s="139">
        <f t="shared" si="37"/>
        <v>56</v>
      </c>
      <c r="BK53" s="139">
        <f t="shared" si="37"/>
        <v>57</v>
      </c>
      <c r="BL53" s="139">
        <f t="shared" si="37"/>
        <v>58</v>
      </c>
      <c r="BM53" s="139">
        <f t="shared" si="37"/>
        <v>59</v>
      </c>
      <c r="BN53" s="139">
        <f t="shared" si="37"/>
        <v>60</v>
      </c>
      <c r="BO53" s="139">
        <f t="shared" si="37"/>
        <v>61</v>
      </c>
      <c r="BP53" s="139">
        <f t="shared" si="37"/>
        <v>62</v>
      </c>
      <c r="BQ53" s="140">
        <f t="shared" si="37"/>
        <v>63</v>
      </c>
      <c r="BR53" s="33" t="s">
        <v>204</v>
      </c>
    </row>
    <row r="54" spans="1:70" x14ac:dyDescent="0.25">
      <c r="A54" s="147">
        <v>0</v>
      </c>
      <c r="B54" s="148">
        <v>0</v>
      </c>
      <c r="C54" s="148">
        <v>1</v>
      </c>
      <c r="D54" s="148">
        <v>1</v>
      </c>
      <c r="E54" s="176">
        <v>0</v>
      </c>
      <c r="F54" s="135">
        <f>14*MOD($B54*2^$F$52+INT(F$53*$D54),10*2^$F$52)+IF(ISNUMBER($E54),$E54,IF(ISEVEN(F$53),0,$C$51))</f>
        <v>0</v>
      </c>
      <c r="G54" s="136">
        <f t="shared" ref="G54:V69" si="38">14*MOD($B54*2^$F$52+INT(G$53*$D54),10*2^$F$52)+IF(ISNUMBER($E54),$E54,IF(ISEVEN(G$53),0,$C$51))</f>
        <v>14</v>
      </c>
      <c r="H54" s="136">
        <f t="shared" si="38"/>
        <v>28</v>
      </c>
      <c r="I54" s="136">
        <f t="shared" si="38"/>
        <v>42</v>
      </c>
      <c r="J54" s="136">
        <f t="shared" si="38"/>
        <v>56</v>
      </c>
      <c r="K54" s="136">
        <f t="shared" si="38"/>
        <v>70</v>
      </c>
      <c r="L54" s="136">
        <f t="shared" si="38"/>
        <v>84</v>
      </c>
      <c r="M54" s="136">
        <f t="shared" si="38"/>
        <v>98</v>
      </c>
      <c r="N54" s="136">
        <f t="shared" si="38"/>
        <v>112</v>
      </c>
      <c r="O54" s="136">
        <f t="shared" si="38"/>
        <v>126</v>
      </c>
      <c r="P54" s="136">
        <f t="shared" si="38"/>
        <v>140</v>
      </c>
      <c r="Q54" s="136">
        <f t="shared" si="38"/>
        <v>154</v>
      </c>
      <c r="R54" s="136">
        <f t="shared" si="38"/>
        <v>168</v>
      </c>
      <c r="S54" s="136">
        <f t="shared" si="38"/>
        <v>182</v>
      </c>
      <c r="T54" s="136">
        <f t="shared" si="38"/>
        <v>196</v>
      </c>
      <c r="U54" s="136">
        <f t="shared" si="38"/>
        <v>210</v>
      </c>
      <c r="V54" s="136">
        <f t="shared" si="38"/>
        <v>224</v>
      </c>
      <c r="W54" s="136">
        <f t="shared" ref="W54:AL69" si="39">14*MOD($B54*2^$F$52+INT(W$53*$D54),10*2^$F$52)+IF(ISNUMBER($E54),$E54,IF(ISEVEN(W$53),0,$C$51))</f>
        <v>238</v>
      </c>
      <c r="X54" s="136">
        <f t="shared" si="39"/>
        <v>252</v>
      </c>
      <c r="Y54" s="136">
        <f t="shared" si="39"/>
        <v>266</v>
      </c>
      <c r="Z54" s="136">
        <f t="shared" si="39"/>
        <v>280</v>
      </c>
      <c r="AA54" s="136">
        <f t="shared" si="39"/>
        <v>294</v>
      </c>
      <c r="AB54" s="136">
        <f t="shared" si="39"/>
        <v>308</v>
      </c>
      <c r="AC54" s="136">
        <f t="shared" si="39"/>
        <v>322</v>
      </c>
      <c r="AD54" s="136">
        <f t="shared" si="39"/>
        <v>336</v>
      </c>
      <c r="AE54" s="136">
        <f t="shared" si="39"/>
        <v>350</v>
      </c>
      <c r="AF54" s="136">
        <f t="shared" si="39"/>
        <v>364</v>
      </c>
      <c r="AG54" s="136">
        <f t="shared" si="39"/>
        <v>378</v>
      </c>
      <c r="AH54" s="136">
        <f t="shared" si="39"/>
        <v>392</v>
      </c>
      <c r="AI54" s="136">
        <f t="shared" si="39"/>
        <v>406</v>
      </c>
      <c r="AJ54" s="136">
        <f t="shared" si="39"/>
        <v>420</v>
      </c>
      <c r="AK54" s="136">
        <f t="shared" si="39"/>
        <v>434</v>
      </c>
      <c r="AL54" s="136">
        <f t="shared" si="39"/>
        <v>448</v>
      </c>
      <c r="AM54" s="136">
        <f t="shared" ref="AM54:BB69" si="40">14*MOD($B54*2^$F$52+INT(AM$53*$D54),10*2^$F$52)+IF(ISNUMBER($E54),$E54,IF(ISEVEN(AM$53),0,$C$51))</f>
        <v>462</v>
      </c>
      <c r="AN54" s="136">
        <f t="shared" si="40"/>
        <v>476</v>
      </c>
      <c r="AO54" s="136">
        <f t="shared" si="40"/>
        <v>490</v>
      </c>
      <c r="AP54" s="136">
        <f t="shared" si="40"/>
        <v>504</v>
      </c>
      <c r="AQ54" s="136">
        <f t="shared" si="40"/>
        <v>518</v>
      </c>
      <c r="AR54" s="136">
        <f t="shared" si="40"/>
        <v>532</v>
      </c>
      <c r="AS54" s="136">
        <f t="shared" si="40"/>
        <v>546</v>
      </c>
      <c r="AT54" s="136">
        <f t="shared" si="40"/>
        <v>560</v>
      </c>
      <c r="AU54" s="136">
        <f t="shared" si="40"/>
        <v>574</v>
      </c>
      <c r="AV54" s="136">
        <f t="shared" si="40"/>
        <v>588</v>
      </c>
      <c r="AW54" s="136">
        <f t="shared" si="40"/>
        <v>602</v>
      </c>
      <c r="AX54" s="136">
        <f t="shared" si="40"/>
        <v>616</v>
      </c>
      <c r="AY54" s="136">
        <f t="shared" si="40"/>
        <v>630</v>
      </c>
      <c r="AZ54" s="136">
        <f t="shared" si="40"/>
        <v>644</v>
      </c>
      <c r="BA54" s="136">
        <f t="shared" si="40"/>
        <v>658</v>
      </c>
      <c r="BB54" s="136">
        <f t="shared" si="40"/>
        <v>672</v>
      </c>
      <c r="BC54" s="136">
        <f t="shared" ref="BC54:BQ69" si="41">14*MOD($B54*2^$F$52+INT(BC$53*$D54),10*2^$F$52)+IF(ISNUMBER($E54),$E54,IF(ISEVEN(BC$53),0,$C$51))</f>
        <v>686</v>
      </c>
      <c r="BD54" s="136">
        <f t="shared" si="41"/>
        <v>700</v>
      </c>
      <c r="BE54" s="136">
        <f t="shared" si="41"/>
        <v>714</v>
      </c>
      <c r="BF54" s="136">
        <f t="shared" si="41"/>
        <v>728</v>
      </c>
      <c r="BG54" s="136">
        <f t="shared" si="41"/>
        <v>742</v>
      </c>
      <c r="BH54" s="136">
        <f t="shared" si="41"/>
        <v>756</v>
      </c>
      <c r="BI54" s="136">
        <f t="shared" si="41"/>
        <v>770</v>
      </c>
      <c r="BJ54" s="136">
        <f t="shared" si="41"/>
        <v>784</v>
      </c>
      <c r="BK54" s="136">
        <f t="shared" si="41"/>
        <v>798</v>
      </c>
      <c r="BL54" s="136">
        <f t="shared" si="41"/>
        <v>812</v>
      </c>
      <c r="BM54" s="136">
        <f t="shared" si="41"/>
        <v>826</v>
      </c>
      <c r="BN54" s="136">
        <f t="shared" si="41"/>
        <v>840</v>
      </c>
      <c r="BO54" s="136">
        <f t="shared" si="41"/>
        <v>854</v>
      </c>
      <c r="BP54" s="136">
        <f t="shared" si="41"/>
        <v>868</v>
      </c>
      <c r="BQ54" s="137">
        <f t="shared" si="41"/>
        <v>882</v>
      </c>
    </row>
    <row r="55" spans="1:70" ht="30" x14ac:dyDescent="0.25">
      <c r="A55" s="144">
        <v>1</v>
      </c>
      <c r="B55" s="141">
        <v>0</v>
      </c>
      <c r="C55" s="141">
        <v>2</v>
      </c>
      <c r="D55" s="141">
        <v>0.5</v>
      </c>
      <c r="E55" s="143" t="s">
        <v>203</v>
      </c>
      <c r="F55" s="130">
        <f t="shared" ref="F55:F69" si="42">14*MOD($B55*2^$F$52+INT(F$53*$D55),10*2^$F$52)+IF(ISNUMBER($E55),$E55,IF(ISEVEN(F$53),0,$C$51))</f>
        <v>0</v>
      </c>
      <c r="G55" s="54">
        <f t="shared" si="38"/>
        <v>3</v>
      </c>
      <c r="H55" s="54">
        <f t="shared" si="38"/>
        <v>14</v>
      </c>
      <c r="I55" s="54">
        <f t="shared" si="38"/>
        <v>17</v>
      </c>
      <c r="J55" s="54">
        <f t="shared" si="38"/>
        <v>28</v>
      </c>
      <c r="K55" s="54">
        <f t="shared" si="38"/>
        <v>31</v>
      </c>
      <c r="L55" s="54">
        <f t="shared" si="38"/>
        <v>42</v>
      </c>
      <c r="M55" s="54">
        <f t="shared" si="38"/>
        <v>45</v>
      </c>
      <c r="N55" s="54">
        <f t="shared" si="38"/>
        <v>56</v>
      </c>
      <c r="O55" s="54">
        <f t="shared" si="38"/>
        <v>59</v>
      </c>
      <c r="P55" s="54">
        <f t="shared" si="38"/>
        <v>70</v>
      </c>
      <c r="Q55" s="54">
        <f t="shared" si="38"/>
        <v>73</v>
      </c>
      <c r="R55" s="54">
        <f t="shared" si="38"/>
        <v>84</v>
      </c>
      <c r="S55" s="54">
        <f t="shared" si="38"/>
        <v>87</v>
      </c>
      <c r="T55" s="54">
        <f t="shared" si="38"/>
        <v>98</v>
      </c>
      <c r="U55" s="54">
        <f t="shared" si="38"/>
        <v>101</v>
      </c>
      <c r="V55" s="54">
        <f t="shared" si="38"/>
        <v>112</v>
      </c>
      <c r="W55" s="54">
        <f t="shared" si="39"/>
        <v>115</v>
      </c>
      <c r="X55" s="54">
        <f t="shared" si="39"/>
        <v>126</v>
      </c>
      <c r="Y55" s="54">
        <f t="shared" si="39"/>
        <v>129</v>
      </c>
      <c r="Z55" s="54">
        <f t="shared" si="39"/>
        <v>140</v>
      </c>
      <c r="AA55" s="54">
        <f t="shared" si="39"/>
        <v>143</v>
      </c>
      <c r="AB55" s="54">
        <f t="shared" si="39"/>
        <v>154</v>
      </c>
      <c r="AC55" s="54">
        <f t="shared" si="39"/>
        <v>157</v>
      </c>
      <c r="AD55" s="54">
        <f t="shared" si="39"/>
        <v>168</v>
      </c>
      <c r="AE55" s="54">
        <f t="shared" si="39"/>
        <v>171</v>
      </c>
      <c r="AF55" s="54">
        <f t="shared" si="39"/>
        <v>182</v>
      </c>
      <c r="AG55" s="54">
        <f t="shared" si="39"/>
        <v>185</v>
      </c>
      <c r="AH55" s="54">
        <f t="shared" si="39"/>
        <v>196</v>
      </c>
      <c r="AI55" s="54">
        <f t="shared" si="39"/>
        <v>199</v>
      </c>
      <c r="AJ55" s="54">
        <f t="shared" si="39"/>
        <v>210</v>
      </c>
      <c r="AK55" s="54">
        <f t="shared" si="39"/>
        <v>213</v>
      </c>
      <c r="AL55" s="54">
        <f t="shared" si="39"/>
        <v>224</v>
      </c>
      <c r="AM55" s="54">
        <f t="shared" si="40"/>
        <v>227</v>
      </c>
      <c r="AN55" s="54">
        <f t="shared" si="40"/>
        <v>238</v>
      </c>
      <c r="AO55" s="54">
        <f t="shared" si="40"/>
        <v>241</v>
      </c>
      <c r="AP55" s="54">
        <f t="shared" si="40"/>
        <v>252</v>
      </c>
      <c r="AQ55" s="54">
        <f t="shared" si="40"/>
        <v>255</v>
      </c>
      <c r="AR55" s="54">
        <f t="shared" si="40"/>
        <v>266</v>
      </c>
      <c r="AS55" s="54">
        <f t="shared" si="40"/>
        <v>269</v>
      </c>
      <c r="AT55" s="54">
        <f t="shared" si="40"/>
        <v>280</v>
      </c>
      <c r="AU55" s="54">
        <f t="shared" si="40"/>
        <v>283</v>
      </c>
      <c r="AV55" s="54">
        <f t="shared" si="40"/>
        <v>294</v>
      </c>
      <c r="AW55" s="54">
        <f t="shared" si="40"/>
        <v>297</v>
      </c>
      <c r="AX55" s="54">
        <f t="shared" si="40"/>
        <v>308</v>
      </c>
      <c r="AY55" s="54">
        <f t="shared" si="40"/>
        <v>311</v>
      </c>
      <c r="AZ55" s="54">
        <f t="shared" si="40"/>
        <v>322</v>
      </c>
      <c r="BA55" s="54">
        <f t="shared" si="40"/>
        <v>325</v>
      </c>
      <c r="BB55" s="54">
        <f t="shared" si="40"/>
        <v>336</v>
      </c>
      <c r="BC55" s="54">
        <f t="shared" si="41"/>
        <v>339</v>
      </c>
      <c r="BD55" s="54">
        <f t="shared" si="41"/>
        <v>350</v>
      </c>
      <c r="BE55" s="54">
        <f t="shared" si="41"/>
        <v>353</v>
      </c>
      <c r="BF55" s="54">
        <f t="shared" si="41"/>
        <v>364</v>
      </c>
      <c r="BG55" s="54">
        <f t="shared" si="41"/>
        <v>367</v>
      </c>
      <c r="BH55" s="54">
        <f t="shared" si="41"/>
        <v>378</v>
      </c>
      <c r="BI55" s="54">
        <f t="shared" si="41"/>
        <v>381</v>
      </c>
      <c r="BJ55" s="54">
        <f t="shared" si="41"/>
        <v>392</v>
      </c>
      <c r="BK55" s="54">
        <f t="shared" si="41"/>
        <v>395</v>
      </c>
      <c r="BL55" s="54">
        <f t="shared" si="41"/>
        <v>406</v>
      </c>
      <c r="BM55" s="54">
        <f t="shared" si="41"/>
        <v>409</v>
      </c>
      <c r="BN55" s="54">
        <f t="shared" si="41"/>
        <v>420</v>
      </c>
      <c r="BO55" s="54">
        <f t="shared" si="41"/>
        <v>423</v>
      </c>
      <c r="BP55" s="54">
        <f t="shared" si="41"/>
        <v>434</v>
      </c>
      <c r="BQ55" s="131">
        <f t="shared" si="41"/>
        <v>437</v>
      </c>
    </row>
    <row r="56" spans="1:70" x14ac:dyDescent="0.25">
      <c r="A56" s="144">
        <v>2</v>
      </c>
      <c r="B56" s="141">
        <v>2</v>
      </c>
      <c r="C56" s="141">
        <v>1</v>
      </c>
      <c r="D56" s="141">
        <v>1</v>
      </c>
      <c r="E56" s="142">
        <v>0</v>
      </c>
      <c r="F56" s="130">
        <f t="shared" si="42"/>
        <v>224</v>
      </c>
      <c r="G56" s="54">
        <f t="shared" si="38"/>
        <v>238</v>
      </c>
      <c r="H56" s="54">
        <f t="shared" si="38"/>
        <v>252</v>
      </c>
      <c r="I56" s="54">
        <f t="shared" si="38"/>
        <v>266</v>
      </c>
      <c r="J56" s="54">
        <f t="shared" si="38"/>
        <v>280</v>
      </c>
      <c r="K56" s="54">
        <f t="shared" si="38"/>
        <v>294</v>
      </c>
      <c r="L56" s="54">
        <f t="shared" si="38"/>
        <v>308</v>
      </c>
      <c r="M56" s="54">
        <f t="shared" si="38"/>
        <v>322</v>
      </c>
      <c r="N56" s="54">
        <f t="shared" si="38"/>
        <v>336</v>
      </c>
      <c r="O56" s="54">
        <f t="shared" si="38"/>
        <v>350</v>
      </c>
      <c r="P56" s="54">
        <f t="shared" si="38"/>
        <v>364</v>
      </c>
      <c r="Q56" s="54">
        <f t="shared" si="38"/>
        <v>378</v>
      </c>
      <c r="R56" s="54">
        <f t="shared" si="38"/>
        <v>392</v>
      </c>
      <c r="S56" s="54">
        <f t="shared" si="38"/>
        <v>406</v>
      </c>
      <c r="T56" s="54">
        <f t="shared" si="38"/>
        <v>420</v>
      </c>
      <c r="U56" s="54">
        <f t="shared" si="38"/>
        <v>434</v>
      </c>
      <c r="V56" s="54">
        <f t="shared" si="38"/>
        <v>448</v>
      </c>
      <c r="W56" s="54">
        <f t="shared" si="39"/>
        <v>462</v>
      </c>
      <c r="X56" s="54">
        <f t="shared" si="39"/>
        <v>476</v>
      </c>
      <c r="Y56" s="54">
        <f t="shared" si="39"/>
        <v>490</v>
      </c>
      <c r="Z56" s="54">
        <f t="shared" si="39"/>
        <v>504</v>
      </c>
      <c r="AA56" s="54">
        <f t="shared" si="39"/>
        <v>518</v>
      </c>
      <c r="AB56" s="54">
        <f t="shared" si="39"/>
        <v>532</v>
      </c>
      <c r="AC56" s="54">
        <f t="shared" si="39"/>
        <v>546</v>
      </c>
      <c r="AD56" s="54">
        <f t="shared" si="39"/>
        <v>560</v>
      </c>
      <c r="AE56" s="54">
        <f t="shared" si="39"/>
        <v>574</v>
      </c>
      <c r="AF56" s="54">
        <f t="shared" si="39"/>
        <v>588</v>
      </c>
      <c r="AG56" s="54">
        <f t="shared" si="39"/>
        <v>602</v>
      </c>
      <c r="AH56" s="54">
        <f t="shared" si="39"/>
        <v>616</v>
      </c>
      <c r="AI56" s="54">
        <f t="shared" si="39"/>
        <v>630</v>
      </c>
      <c r="AJ56" s="54">
        <f t="shared" si="39"/>
        <v>644</v>
      </c>
      <c r="AK56" s="54">
        <f t="shared" si="39"/>
        <v>658</v>
      </c>
      <c r="AL56" s="54">
        <f t="shared" si="39"/>
        <v>672</v>
      </c>
      <c r="AM56" s="54">
        <f t="shared" si="40"/>
        <v>686</v>
      </c>
      <c r="AN56" s="54">
        <f t="shared" si="40"/>
        <v>700</v>
      </c>
      <c r="AO56" s="54">
        <f t="shared" si="40"/>
        <v>714</v>
      </c>
      <c r="AP56" s="54">
        <f t="shared" si="40"/>
        <v>728</v>
      </c>
      <c r="AQ56" s="54">
        <f t="shared" si="40"/>
        <v>742</v>
      </c>
      <c r="AR56" s="54">
        <f t="shared" si="40"/>
        <v>756</v>
      </c>
      <c r="AS56" s="54">
        <f t="shared" si="40"/>
        <v>770</v>
      </c>
      <c r="AT56" s="54">
        <f t="shared" si="40"/>
        <v>784</v>
      </c>
      <c r="AU56" s="54">
        <f t="shared" si="40"/>
        <v>798</v>
      </c>
      <c r="AV56" s="54">
        <f t="shared" si="40"/>
        <v>812</v>
      </c>
      <c r="AW56" s="54">
        <f t="shared" si="40"/>
        <v>826</v>
      </c>
      <c r="AX56" s="54">
        <f t="shared" si="40"/>
        <v>840</v>
      </c>
      <c r="AY56" s="54">
        <f t="shared" si="40"/>
        <v>854</v>
      </c>
      <c r="AZ56" s="54">
        <f t="shared" si="40"/>
        <v>868</v>
      </c>
      <c r="BA56" s="54">
        <f t="shared" si="40"/>
        <v>882</v>
      </c>
      <c r="BB56" s="54">
        <f t="shared" si="40"/>
        <v>896</v>
      </c>
      <c r="BC56" s="54">
        <f t="shared" si="41"/>
        <v>910</v>
      </c>
      <c r="BD56" s="54">
        <f t="shared" si="41"/>
        <v>924</v>
      </c>
      <c r="BE56" s="54">
        <f t="shared" si="41"/>
        <v>938</v>
      </c>
      <c r="BF56" s="54">
        <f t="shared" si="41"/>
        <v>952</v>
      </c>
      <c r="BG56" s="54">
        <f t="shared" si="41"/>
        <v>966</v>
      </c>
      <c r="BH56" s="54">
        <f t="shared" si="41"/>
        <v>980</v>
      </c>
      <c r="BI56" s="54">
        <f t="shared" si="41"/>
        <v>994</v>
      </c>
      <c r="BJ56" s="54">
        <f t="shared" si="41"/>
        <v>1008</v>
      </c>
      <c r="BK56" s="54">
        <f t="shared" si="41"/>
        <v>1022</v>
      </c>
      <c r="BL56" s="54">
        <f t="shared" si="41"/>
        <v>1036</v>
      </c>
      <c r="BM56" s="54">
        <f t="shared" si="41"/>
        <v>1050</v>
      </c>
      <c r="BN56" s="54">
        <f t="shared" si="41"/>
        <v>1064</v>
      </c>
      <c r="BO56" s="54">
        <f t="shared" si="41"/>
        <v>1078</v>
      </c>
      <c r="BP56" s="54">
        <f t="shared" si="41"/>
        <v>1092</v>
      </c>
      <c r="BQ56" s="131">
        <f t="shared" si="41"/>
        <v>1106</v>
      </c>
    </row>
    <row r="57" spans="1:70" ht="30" x14ac:dyDescent="0.25">
      <c r="A57" s="144">
        <v>3</v>
      </c>
      <c r="B57" s="141">
        <v>2</v>
      </c>
      <c r="C57" s="141">
        <v>2</v>
      </c>
      <c r="D57" s="141">
        <v>0.5</v>
      </c>
      <c r="E57" s="143" t="s">
        <v>203</v>
      </c>
      <c r="F57" s="130">
        <f t="shared" si="42"/>
        <v>224</v>
      </c>
      <c r="G57" s="54">
        <f t="shared" si="38"/>
        <v>227</v>
      </c>
      <c r="H57" s="54">
        <f t="shared" si="38"/>
        <v>238</v>
      </c>
      <c r="I57" s="54">
        <f t="shared" si="38"/>
        <v>241</v>
      </c>
      <c r="J57" s="54">
        <f t="shared" si="38"/>
        <v>252</v>
      </c>
      <c r="K57" s="54">
        <f t="shared" si="38"/>
        <v>255</v>
      </c>
      <c r="L57" s="54">
        <f t="shared" si="38"/>
        <v>266</v>
      </c>
      <c r="M57" s="54">
        <f t="shared" si="38"/>
        <v>269</v>
      </c>
      <c r="N57" s="54">
        <f t="shared" si="38"/>
        <v>280</v>
      </c>
      <c r="O57" s="54">
        <f t="shared" si="38"/>
        <v>283</v>
      </c>
      <c r="P57" s="54">
        <f t="shared" si="38"/>
        <v>294</v>
      </c>
      <c r="Q57" s="54">
        <f t="shared" si="38"/>
        <v>297</v>
      </c>
      <c r="R57" s="54">
        <f t="shared" si="38"/>
        <v>308</v>
      </c>
      <c r="S57" s="54">
        <f t="shared" si="38"/>
        <v>311</v>
      </c>
      <c r="T57" s="54">
        <f t="shared" si="38"/>
        <v>322</v>
      </c>
      <c r="U57" s="54">
        <f t="shared" si="38"/>
        <v>325</v>
      </c>
      <c r="V57" s="54">
        <f t="shared" si="38"/>
        <v>336</v>
      </c>
      <c r="W57" s="54">
        <f t="shared" si="39"/>
        <v>339</v>
      </c>
      <c r="X57" s="54">
        <f t="shared" si="39"/>
        <v>350</v>
      </c>
      <c r="Y57" s="54">
        <f t="shared" si="39"/>
        <v>353</v>
      </c>
      <c r="Z57" s="54">
        <f t="shared" si="39"/>
        <v>364</v>
      </c>
      <c r="AA57" s="54">
        <f t="shared" si="39"/>
        <v>367</v>
      </c>
      <c r="AB57" s="54">
        <f t="shared" si="39"/>
        <v>378</v>
      </c>
      <c r="AC57" s="54">
        <f t="shared" si="39"/>
        <v>381</v>
      </c>
      <c r="AD57" s="54">
        <f t="shared" si="39"/>
        <v>392</v>
      </c>
      <c r="AE57" s="54">
        <f t="shared" si="39"/>
        <v>395</v>
      </c>
      <c r="AF57" s="54">
        <f t="shared" si="39"/>
        <v>406</v>
      </c>
      <c r="AG57" s="54">
        <f t="shared" si="39"/>
        <v>409</v>
      </c>
      <c r="AH57" s="54">
        <f t="shared" si="39"/>
        <v>420</v>
      </c>
      <c r="AI57" s="54">
        <f t="shared" si="39"/>
        <v>423</v>
      </c>
      <c r="AJ57" s="54">
        <f t="shared" si="39"/>
        <v>434</v>
      </c>
      <c r="AK57" s="54">
        <f t="shared" si="39"/>
        <v>437</v>
      </c>
      <c r="AL57" s="54">
        <f t="shared" si="39"/>
        <v>448</v>
      </c>
      <c r="AM57" s="54">
        <f t="shared" si="40"/>
        <v>451</v>
      </c>
      <c r="AN57" s="54">
        <f t="shared" si="40"/>
        <v>462</v>
      </c>
      <c r="AO57" s="54">
        <f t="shared" si="40"/>
        <v>465</v>
      </c>
      <c r="AP57" s="54">
        <f t="shared" si="40"/>
        <v>476</v>
      </c>
      <c r="AQ57" s="54">
        <f t="shared" si="40"/>
        <v>479</v>
      </c>
      <c r="AR57" s="54">
        <f t="shared" si="40"/>
        <v>490</v>
      </c>
      <c r="AS57" s="54">
        <f t="shared" si="40"/>
        <v>493</v>
      </c>
      <c r="AT57" s="54">
        <f t="shared" si="40"/>
        <v>504</v>
      </c>
      <c r="AU57" s="54">
        <f t="shared" si="40"/>
        <v>507</v>
      </c>
      <c r="AV57" s="54">
        <f t="shared" si="40"/>
        <v>518</v>
      </c>
      <c r="AW57" s="54">
        <f t="shared" si="40"/>
        <v>521</v>
      </c>
      <c r="AX57" s="54">
        <f t="shared" si="40"/>
        <v>532</v>
      </c>
      <c r="AY57" s="54">
        <f t="shared" si="40"/>
        <v>535</v>
      </c>
      <c r="AZ57" s="54">
        <f t="shared" si="40"/>
        <v>546</v>
      </c>
      <c r="BA57" s="54">
        <f t="shared" si="40"/>
        <v>549</v>
      </c>
      <c r="BB57" s="54">
        <f t="shared" si="40"/>
        <v>560</v>
      </c>
      <c r="BC57" s="54">
        <f t="shared" si="41"/>
        <v>563</v>
      </c>
      <c r="BD57" s="54">
        <f t="shared" si="41"/>
        <v>574</v>
      </c>
      <c r="BE57" s="54">
        <f t="shared" si="41"/>
        <v>577</v>
      </c>
      <c r="BF57" s="54">
        <f t="shared" si="41"/>
        <v>588</v>
      </c>
      <c r="BG57" s="54">
        <f t="shared" si="41"/>
        <v>591</v>
      </c>
      <c r="BH57" s="54">
        <f t="shared" si="41"/>
        <v>602</v>
      </c>
      <c r="BI57" s="54">
        <f t="shared" si="41"/>
        <v>605</v>
      </c>
      <c r="BJ57" s="54">
        <f t="shared" si="41"/>
        <v>616</v>
      </c>
      <c r="BK57" s="54">
        <f t="shared" si="41"/>
        <v>619</v>
      </c>
      <c r="BL57" s="54">
        <f t="shared" si="41"/>
        <v>630</v>
      </c>
      <c r="BM57" s="54">
        <f t="shared" si="41"/>
        <v>633</v>
      </c>
      <c r="BN57" s="54">
        <f t="shared" si="41"/>
        <v>644</v>
      </c>
      <c r="BO57" s="54">
        <f t="shared" si="41"/>
        <v>647</v>
      </c>
      <c r="BP57" s="54">
        <f t="shared" si="41"/>
        <v>658</v>
      </c>
      <c r="BQ57" s="131">
        <f t="shared" si="41"/>
        <v>661</v>
      </c>
    </row>
    <row r="58" spans="1:70" x14ac:dyDescent="0.25">
      <c r="A58" s="144">
        <v>4</v>
      </c>
      <c r="B58" s="141">
        <v>5</v>
      </c>
      <c r="C58" s="141">
        <v>1</v>
      </c>
      <c r="D58" s="141">
        <v>1</v>
      </c>
      <c r="E58" s="142">
        <v>0</v>
      </c>
      <c r="F58" s="130">
        <f t="shared" si="42"/>
        <v>560</v>
      </c>
      <c r="G58" s="54">
        <f t="shared" si="38"/>
        <v>574</v>
      </c>
      <c r="H58" s="54">
        <f t="shared" si="38"/>
        <v>588</v>
      </c>
      <c r="I58" s="54">
        <f t="shared" si="38"/>
        <v>602</v>
      </c>
      <c r="J58" s="54">
        <f t="shared" si="38"/>
        <v>616</v>
      </c>
      <c r="K58" s="54">
        <f t="shared" si="38"/>
        <v>630</v>
      </c>
      <c r="L58" s="54">
        <f t="shared" si="38"/>
        <v>644</v>
      </c>
      <c r="M58" s="54">
        <f t="shared" si="38"/>
        <v>658</v>
      </c>
      <c r="N58" s="54">
        <f t="shared" si="38"/>
        <v>672</v>
      </c>
      <c r="O58" s="54">
        <f t="shared" si="38"/>
        <v>686</v>
      </c>
      <c r="P58" s="54">
        <f t="shared" si="38"/>
        <v>700</v>
      </c>
      <c r="Q58" s="54">
        <f t="shared" si="38"/>
        <v>714</v>
      </c>
      <c r="R58" s="54">
        <f t="shared" si="38"/>
        <v>728</v>
      </c>
      <c r="S58" s="54">
        <f t="shared" si="38"/>
        <v>742</v>
      </c>
      <c r="T58" s="54">
        <f t="shared" si="38"/>
        <v>756</v>
      </c>
      <c r="U58" s="54">
        <f t="shared" si="38"/>
        <v>770</v>
      </c>
      <c r="V58" s="54">
        <f t="shared" si="38"/>
        <v>784</v>
      </c>
      <c r="W58" s="54">
        <f t="shared" si="39"/>
        <v>798</v>
      </c>
      <c r="X58" s="54">
        <f t="shared" si="39"/>
        <v>812</v>
      </c>
      <c r="Y58" s="54">
        <f t="shared" si="39"/>
        <v>826</v>
      </c>
      <c r="Z58" s="54">
        <f t="shared" si="39"/>
        <v>840</v>
      </c>
      <c r="AA58" s="54">
        <f t="shared" si="39"/>
        <v>854</v>
      </c>
      <c r="AB58" s="54">
        <f t="shared" si="39"/>
        <v>868</v>
      </c>
      <c r="AC58" s="54">
        <f t="shared" si="39"/>
        <v>882</v>
      </c>
      <c r="AD58" s="54">
        <f t="shared" si="39"/>
        <v>896</v>
      </c>
      <c r="AE58" s="54">
        <f t="shared" si="39"/>
        <v>910</v>
      </c>
      <c r="AF58" s="54">
        <f t="shared" si="39"/>
        <v>924</v>
      </c>
      <c r="AG58" s="54">
        <f t="shared" si="39"/>
        <v>938</v>
      </c>
      <c r="AH58" s="54">
        <f t="shared" si="39"/>
        <v>952</v>
      </c>
      <c r="AI58" s="54">
        <f t="shared" si="39"/>
        <v>966</v>
      </c>
      <c r="AJ58" s="54">
        <f t="shared" si="39"/>
        <v>980</v>
      </c>
      <c r="AK58" s="54">
        <f t="shared" si="39"/>
        <v>994</v>
      </c>
      <c r="AL58" s="54">
        <f t="shared" si="39"/>
        <v>1008</v>
      </c>
      <c r="AM58" s="54">
        <f t="shared" si="40"/>
        <v>1022</v>
      </c>
      <c r="AN58" s="54">
        <f t="shared" si="40"/>
        <v>1036</v>
      </c>
      <c r="AO58" s="54">
        <f t="shared" si="40"/>
        <v>1050</v>
      </c>
      <c r="AP58" s="54">
        <f t="shared" si="40"/>
        <v>1064</v>
      </c>
      <c r="AQ58" s="54">
        <f t="shared" si="40"/>
        <v>1078</v>
      </c>
      <c r="AR58" s="54">
        <f t="shared" si="40"/>
        <v>1092</v>
      </c>
      <c r="AS58" s="54">
        <f t="shared" si="40"/>
        <v>1106</v>
      </c>
      <c r="AT58" s="54">
        <f t="shared" si="40"/>
        <v>0</v>
      </c>
      <c r="AU58" s="54">
        <f t="shared" si="40"/>
        <v>14</v>
      </c>
      <c r="AV58" s="54">
        <f t="shared" si="40"/>
        <v>28</v>
      </c>
      <c r="AW58" s="54">
        <f t="shared" si="40"/>
        <v>42</v>
      </c>
      <c r="AX58" s="54">
        <f t="shared" si="40"/>
        <v>56</v>
      </c>
      <c r="AY58" s="54">
        <f t="shared" si="40"/>
        <v>70</v>
      </c>
      <c r="AZ58" s="54">
        <f t="shared" si="40"/>
        <v>84</v>
      </c>
      <c r="BA58" s="54">
        <f t="shared" si="40"/>
        <v>98</v>
      </c>
      <c r="BB58" s="54">
        <f t="shared" si="40"/>
        <v>112</v>
      </c>
      <c r="BC58" s="54">
        <f t="shared" si="41"/>
        <v>126</v>
      </c>
      <c r="BD58" s="54">
        <f t="shared" si="41"/>
        <v>140</v>
      </c>
      <c r="BE58" s="54">
        <f t="shared" si="41"/>
        <v>154</v>
      </c>
      <c r="BF58" s="54">
        <f t="shared" si="41"/>
        <v>168</v>
      </c>
      <c r="BG58" s="54">
        <f t="shared" si="41"/>
        <v>182</v>
      </c>
      <c r="BH58" s="54">
        <f t="shared" si="41"/>
        <v>196</v>
      </c>
      <c r="BI58" s="54">
        <f t="shared" si="41"/>
        <v>210</v>
      </c>
      <c r="BJ58" s="54">
        <f t="shared" si="41"/>
        <v>224</v>
      </c>
      <c r="BK58" s="54">
        <f t="shared" si="41"/>
        <v>238</v>
      </c>
      <c r="BL58" s="54">
        <f t="shared" si="41"/>
        <v>252</v>
      </c>
      <c r="BM58" s="54">
        <f t="shared" si="41"/>
        <v>266</v>
      </c>
      <c r="BN58" s="54">
        <f t="shared" si="41"/>
        <v>280</v>
      </c>
      <c r="BO58" s="54">
        <f t="shared" si="41"/>
        <v>294</v>
      </c>
      <c r="BP58" s="54">
        <f t="shared" si="41"/>
        <v>308</v>
      </c>
      <c r="BQ58" s="131">
        <f t="shared" si="41"/>
        <v>322</v>
      </c>
    </row>
    <row r="59" spans="1:70" ht="30" x14ac:dyDescent="0.25">
      <c r="A59" s="144">
        <v>5</v>
      </c>
      <c r="B59" s="141">
        <v>5</v>
      </c>
      <c r="C59" s="141">
        <v>2</v>
      </c>
      <c r="D59" s="141">
        <v>0.5</v>
      </c>
      <c r="E59" s="143" t="s">
        <v>203</v>
      </c>
      <c r="F59" s="130">
        <f t="shared" si="42"/>
        <v>560</v>
      </c>
      <c r="G59" s="54">
        <f t="shared" si="38"/>
        <v>563</v>
      </c>
      <c r="H59" s="54">
        <f t="shared" si="38"/>
        <v>574</v>
      </c>
      <c r="I59" s="54">
        <f t="shared" si="38"/>
        <v>577</v>
      </c>
      <c r="J59" s="54">
        <f t="shared" si="38"/>
        <v>588</v>
      </c>
      <c r="K59" s="54">
        <f t="shared" si="38"/>
        <v>591</v>
      </c>
      <c r="L59" s="54">
        <f t="shared" si="38"/>
        <v>602</v>
      </c>
      <c r="M59" s="54">
        <f t="shared" si="38"/>
        <v>605</v>
      </c>
      <c r="N59" s="54">
        <f t="shared" si="38"/>
        <v>616</v>
      </c>
      <c r="O59" s="54">
        <f t="shared" si="38"/>
        <v>619</v>
      </c>
      <c r="P59" s="54">
        <f t="shared" si="38"/>
        <v>630</v>
      </c>
      <c r="Q59" s="54">
        <f t="shared" si="38"/>
        <v>633</v>
      </c>
      <c r="R59" s="54">
        <f t="shared" si="38"/>
        <v>644</v>
      </c>
      <c r="S59" s="54">
        <f t="shared" si="38"/>
        <v>647</v>
      </c>
      <c r="T59" s="54">
        <f t="shared" si="38"/>
        <v>658</v>
      </c>
      <c r="U59" s="54">
        <f t="shared" si="38"/>
        <v>661</v>
      </c>
      <c r="V59" s="54">
        <f t="shared" si="38"/>
        <v>672</v>
      </c>
      <c r="W59" s="54">
        <f t="shared" si="39"/>
        <v>675</v>
      </c>
      <c r="X59" s="54">
        <f t="shared" si="39"/>
        <v>686</v>
      </c>
      <c r="Y59" s="54">
        <f t="shared" si="39"/>
        <v>689</v>
      </c>
      <c r="Z59" s="54">
        <f t="shared" si="39"/>
        <v>700</v>
      </c>
      <c r="AA59" s="54">
        <f t="shared" si="39"/>
        <v>703</v>
      </c>
      <c r="AB59" s="54">
        <f t="shared" si="39"/>
        <v>714</v>
      </c>
      <c r="AC59" s="54">
        <f t="shared" si="39"/>
        <v>717</v>
      </c>
      <c r="AD59" s="54">
        <f t="shared" si="39"/>
        <v>728</v>
      </c>
      <c r="AE59" s="54">
        <f t="shared" si="39"/>
        <v>731</v>
      </c>
      <c r="AF59" s="54">
        <f t="shared" si="39"/>
        <v>742</v>
      </c>
      <c r="AG59" s="54">
        <f t="shared" si="39"/>
        <v>745</v>
      </c>
      <c r="AH59" s="54">
        <f t="shared" si="39"/>
        <v>756</v>
      </c>
      <c r="AI59" s="54">
        <f t="shared" si="39"/>
        <v>759</v>
      </c>
      <c r="AJ59" s="54">
        <f t="shared" si="39"/>
        <v>770</v>
      </c>
      <c r="AK59" s="54">
        <f t="shared" si="39"/>
        <v>773</v>
      </c>
      <c r="AL59" s="54">
        <f t="shared" si="39"/>
        <v>784</v>
      </c>
      <c r="AM59" s="54">
        <f t="shared" si="40"/>
        <v>787</v>
      </c>
      <c r="AN59" s="54">
        <f t="shared" si="40"/>
        <v>798</v>
      </c>
      <c r="AO59" s="54">
        <f t="shared" si="40"/>
        <v>801</v>
      </c>
      <c r="AP59" s="54">
        <f t="shared" si="40"/>
        <v>812</v>
      </c>
      <c r="AQ59" s="54">
        <f t="shared" si="40"/>
        <v>815</v>
      </c>
      <c r="AR59" s="54">
        <f t="shared" si="40"/>
        <v>826</v>
      </c>
      <c r="AS59" s="54">
        <f t="shared" si="40"/>
        <v>829</v>
      </c>
      <c r="AT59" s="54">
        <f t="shared" si="40"/>
        <v>840</v>
      </c>
      <c r="AU59" s="54">
        <f t="shared" si="40"/>
        <v>843</v>
      </c>
      <c r="AV59" s="54">
        <f t="shared" si="40"/>
        <v>854</v>
      </c>
      <c r="AW59" s="54">
        <f t="shared" si="40"/>
        <v>857</v>
      </c>
      <c r="AX59" s="54">
        <f t="shared" si="40"/>
        <v>868</v>
      </c>
      <c r="AY59" s="54">
        <f t="shared" si="40"/>
        <v>871</v>
      </c>
      <c r="AZ59" s="54">
        <f t="shared" si="40"/>
        <v>882</v>
      </c>
      <c r="BA59" s="54">
        <f t="shared" si="40"/>
        <v>885</v>
      </c>
      <c r="BB59" s="54">
        <f t="shared" si="40"/>
        <v>896</v>
      </c>
      <c r="BC59" s="54">
        <f t="shared" si="41"/>
        <v>899</v>
      </c>
      <c r="BD59" s="54">
        <f t="shared" si="41"/>
        <v>910</v>
      </c>
      <c r="BE59" s="54">
        <f t="shared" si="41"/>
        <v>913</v>
      </c>
      <c r="BF59" s="54">
        <f t="shared" si="41"/>
        <v>924</v>
      </c>
      <c r="BG59" s="54">
        <f t="shared" si="41"/>
        <v>927</v>
      </c>
      <c r="BH59" s="54">
        <f t="shared" si="41"/>
        <v>938</v>
      </c>
      <c r="BI59" s="54">
        <f t="shared" si="41"/>
        <v>941</v>
      </c>
      <c r="BJ59" s="54">
        <f t="shared" si="41"/>
        <v>952</v>
      </c>
      <c r="BK59" s="54">
        <f t="shared" si="41"/>
        <v>955</v>
      </c>
      <c r="BL59" s="54">
        <f t="shared" si="41"/>
        <v>966</v>
      </c>
      <c r="BM59" s="54">
        <f t="shared" si="41"/>
        <v>969</v>
      </c>
      <c r="BN59" s="54">
        <f t="shared" si="41"/>
        <v>980</v>
      </c>
      <c r="BO59" s="54">
        <f t="shared" si="41"/>
        <v>983</v>
      </c>
      <c r="BP59" s="54">
        <f t="shared" si="41"/>
        <v>994</v>
      </c>
      <c r="BQ59" s="131">
        <f t="shared" si="41"/>
        <v>997</v>
      </c>
    </row>
    <row r="60" spans="1:70" x14ac:dyDescent="0.25">
      <c r="A60" s="144">
        <v>6</v>
      </c>
      <c r="B60" s="141">
        <v>7</v>
      </c>
      <c r="C60" s="141">
        <v>1</v>
      </c>
      <c r="D60" s="141">
        <v>1</v>
      </c>
      <c r="E60" s="142">
        <v>0</v>
      </c>
      <c r="F60" s="130">
        <f t="shared" si="42"/>
        <v>784</v>
      </c>
      <c r="G60" s="54">
        <f t="shared" si="38"/>
        <v>798</v>
      </c>
      <c r="H60" s="54">
        <f t="shared" si="38"/>
        <v>812</v>
      </c>
      <c r="I60" s="54">
        <f t="shared" si="38"/>
        <v>826</v>
      </c>
      <c r="J60" s="54">
        <f t="shared" si="38"/>
        <v>840</v>
      </c>
      <c r="K60" s="54">
        <f t="shared" si="38"/>
        <v>854</v>
      </c>
      <c r="L60" s="54">
        <f t="shared" si="38"/>
        <v>868</v>
      </c>
      <c r="M60" s="54">
        <f t="shared" si="38"/>
        <v>882</v>
      </c>
      <c r="N60" s="54">
        <f t="shared" si="38"/>
        <v>896</v>
      </c>
      <c r="O60" s="54">
        <f t="shared" si="38"/>
        <v>910</v>
      </c>
      <c r="P60" s="54">
        <f t="shared" si="38"/>
        <v>924</v>
      </c>
      <c r="Q60" s="54">
        <f t="shared" si="38"/>
        <v>938</v>
      </c>
      <c r="R60" s="54">
        <f t="shared" si="38"/>
        <v>952</v>
      </c>
      <c r="S60" s="54">
        <f t="shared" si="38"/>
        <v>966</v>
      </c>
      <c r="T60" s="54">
        <f t="shared" si="38"/>
        <v>980</v>
      </c>
      <c r="U60" s="54">
        <f t="shared" si="38"/>
        <v>994</v>
      </c>
      <c r="V60" s="54">
        <f t="shared" si="38"/>
        <v>1008</v>
      </c>
      <c r="W60" s="54">
        <f t="shared" si="39"/>
        <v>1022</v>
      </c>
      <c r="X60" s="54">
        <f t="shared" si="39"/>
        <v>1036</v>
      </c>
      <c r="Y60" s="54">
        <f t="shared" si="39"/>
        <v>1050</v>
      </c>
      <c r="Z60" s="54">
        <f t="shared" si="39"/>
        <v>1064</v>
      </c>
      <c r="AA60" s="54">
        <f t="shared" si="39"/>
        <v>1078</v>
      </c>
      <c r="AB60" s="54">
        <f t="shared" si="39"/>
        <v>1092</v>
      </c>
      <c r="AC60" s="54">
        <f t="shared" si="39"/>
        <v>1106</v>
      </c>
      <c r="AD60" s="54">
        <f t="shared" si="39"/>
        <v>0</v>
      </c>
      <c r="AE60" s="54">
        <f t="shared" si="39"/>
        <v>14</v>
      </c>
      <c r="AF60" s="54">
        <f t="shared" si="39"/>
        <v>28</v>
      </c>
      <c r="AG60" s="54">
        <f t="shared" si="39"/>
        <v>42</v>
      </c>
      <c r="AH60" s="54">
        <f t="shared" si="39"/>
        <v>56</v>
      </c>
      <c r="AI60" s="54">
        <f t="shared" si="39"/>
        <v>70</v>
      </c>
      <c r="AJ60" s="54">
        <f t="shared" si="39"/>
        <v>84</v>
      </c>
      <c r="AK60" s="54">
        <f t="shared" si="39"/>
        <v>98</v>
      </c>
      <c r="AL60" s="54">
        <f t="shared" si="39"/>
        <v>112</v>
      </c>
      <c r="AM60" s="54">
        <f t="shared" si="40"/>
        <v>126</v>
      </c>
      <c r="AN60" s="54">
        <f t="shared" si="40"/>
        <v>140</v>
      </c>
      <c r="AO60" s="54">
        <f t="shared" si="40"/>
        <v>154</v>
      </c>
      <c r="AP60" s="54">
        <f t="shared" si="40"/>
        <v>168</v>
      </c>
      <c r="AQ60" s="54">
        <f t="shared" si="40"/>
        <v>182</v>
      </c>
      <c r="AR60" s="54">
        <f t="shared" si="40"/>
        <v>196</v>
      </c>
      <c r="AS60" s="54">
        <f t="shared" si="40"/>
        <v>210</v>
      </c>
      <c r="AT60" s="54">
        <f t="shared" si="40"/>
        <v>224</v>
      </c>
      <c r="AU60" s="54">
        <f t="shared" si="40"/>
        <v>238</v>
      </c>
      <c r="AV60" s="54">
        <f t="shared" si="40"/>
        <v>252</v>
      </c>
      <c r="AW60" s="54">
        <f t="shared" si="40"/>
        <v>266</v>
      </c>
      <c r="AX60" s="54">
        <f t="shared" si="40"/>
        <v>280</v>
      </c>
      <c r="AY60" s="54">
        <f t="shared" si="40"/>
        <v>294</v>
      </c>
      <c r="AZ60" s="54">
        <f t="shared" si="40"/>
        <v>308</v>
      </c>
      <c r="BA60" s="54">
        <f t="shared" si="40"/>
        <v>322</v>
      </c>
      <c r="BB60" s="54">
        <f t="shared" si="40"/>
        <v>336</v>
      </c>
      <c r="BC60" s="54">
        <f t="shared" si="41"/>
        <v>350</v>
      </c>
      <c r="BD60" s="54">
        <f t="shared" si="41"/>
        <v>364</v>
      </c>
      <c r="BE60" s="54">
        <f t="shared" si="41"/>
        <v>378</v>
      </c>
      <c r="BF60" s="54">
        <f t="shared" si="41"/>
        <v>392</v>
      </c>
      <c r="BG60" s="54">
        <f t="shared" si="41"/>
        <v>406</v>
      </c>
      <c r="BH60" s="54">
        <f t="shared" si="41"/>
        <v>420</v>
      </c>
      <c r="BI60" s="54">
        <f t="shared" si="41"/>
        <v>434</v>
      </c>
      <c r="BJ60" s="54">
        <f t="shared" si="41"/>
        <v>448</v>
      </c>
      <c r="BK60" s="54">
        <f t="shared" si="41"/>
        <v>462</v>
      </c>
      <c r="BL60" s="54">
        <f t="shared" si="41"/>
        <v>476</v>
      </c>
      <c r="BM60" s="54">
        <f t="shared" si="41"/>
        <v>490</v>
      </c>
      <c r="BN60" s="54">
        <f t="shared" si="41"/>
        <v>504</v>
      </c>
      <c r="BO60" s="54">
        <f t="shared" si="41"/>
        <v>518</v>
      </c>
      <c r="BP60" s="54">
        <f t="shared" si="41"/>
        <v>532</v>
      </c>
      <c r="BQ60" s="131">
        <f t="shared" si="41"/>
        <v>546</v>
      </c>
    </row>
    <row r="61" spans="1:70" ht="30" x14ac:dyDescent="0.25">
      <c r="A61" s="144">
        <v>7</v>
      </c>
      <c r="B61" s="141">
        <v>7</v>
      </c>
      <c r="C61" s="141">
        <v>2</v>
      </c>
      <c r="D61" s="141">
        <v>0.5</v>
      </c>
      <c r="E61" s="143" t="s">
        <v>203</v>
      </c>
      <c r="F61" s="130">
        <f t="shared" si="42"/>
        <v>784</v>
      </c>
      <c r="G61" s="54">
        <f t="shared" si="38"/>
        <v>787</v>
      </c>
      <c r="H61" s="54">
        <f t="shared" si="38"/>
        <v>798</v>
      </c>
      <c r="I61" s="54">
        <f t="shared" si="38"/>
        <v>801</v>
      </c>
      <c r="J61" s="54">
        <f t="shared" si="38"/>
        <v>812</v>
      </c>
      <c r="K61" s="54">
        <f t="shared" si="38"/>
        <v>815</v>
      </c>
      <c r="L61" s="54">
        <f t="shared" si="38"/>
        <v>826</v>
      </c>
      <c r="M61" s="54">
        <f t="shared" si="38"/>
        <v>829</v>
      </c>
      <c r="N61" s="54">
        <f t="shared" si="38"/>
        <v>840</v>
      </c>
      <c r="O61" s="54">
        <f t="shared" si="38"/>
        <v>843</v>
      </c>
      <c r="P61" s="54">
        <f t="shared" si="38"/>
        <v>854</v>
      </c>
      <c r="Q61" s="54">
        <f t="shared" si="38"/>
        <v>857</v>
      </c>
      <c r="R61" s="54">
        <f t="shared" si="38"/>
        <v>868</v>
      </c>
      <c r="S61" s="54">
        <f t="shared" si="38"/>
        <v>871</v>
      </c>
      <c r="T61" s="54">
        <f t="shared" si="38"/>
        <v>882</v>
      </c>
      <c r="U61" s="54">
        <f t="shared" si="38"/>
        <v>885</v>
      </c>
      <c r="V61" s="54">
        <f t="shared" si="38"/>
        <v>896</v>
      </c>
      <c r="W61" s="54">
        <f t="shared" si="39"/>
        <v>899</v>
      </c>
      <c r="X61" s="54">
        <f t="shared" si="39"/>
        <v>910</v>
      </c>
      <c r="Y61" s="54">
        <f t="shared" si="39"/>
        <v>913</v>
      </c>
      <c r="Z61" s="54">
        <f t="shared" si="39"/>
        <v>924</v>
      </c>
      <c r="AA61" s="54">
        <f t="shared" si="39"/>
        <v>927</v>
      </c>
      <c r="AB61" s="54">
        <f t="shared" si="39"/>
        <v>938</v>
      </c>
      <c r="AC61" s="54">
        <f t="shared" si="39"/>
        <v>941</v>
      </c>
      <c r="AD61" s="54">
        <f t="shared" si="39"/>
        <v>952</v>
      </c>
      <c r="AE61" s="54">
        <f t="shared" si="39"/>
        <v>955</v>
      </c>
      <c r="AF61" s="54">
        <f t="shared" si="39"/>
        <v>966</v>
      </c>
      <c r="AG61" s="54">
        <f t="shared" si="39"/>
        <v>969</v>
      </c>
      <c r="AH61" s="54">
        <f t="shared" si="39"/>
        <v>980</v>
      </c>
      <c r="AI61" s="54">
        <f t="shared" si="39"/>
        <v>983</v>
      </c>
      <c r="AJ61" s="54">
        <f t="shared" si="39"/>
        <v>994</v>
      </c>
      <c r="AK61" s="54">
        <f t="shared" si="39"/>
        <v>997</v>
      </c>
      <c r="AL61" s="54">
        <f t="shared" si="39"/>
        <v>1008</v>
      </c>
      <c r="AM61" s="54">
        <f t="shared" si="40"/>
        <v>1011</v>
      </c>
      <c r="AN61" s="54">
        <f t="shared" si="40"/>
        <v>1022</v>
      </c>
      <c r="AO61" s="54">
        <f t="shared" si="40"/>
        <v>1025</v>
      </c>
      <c r="AP61" s="54">
        <f t="shared" si="40"/>
        <v>1036</v>
      </c>
      <c r="AQ61" s="54">
        <f t="shared" si="40"/>
        <v>1039</v>
      </c>
      <c r="AR61" s="54">
        <f t="shared" si="40"/>
        <v>1050</v>
      </c>
      <c r="AS61" s="54">
        <f t="shared" si="40"/>
        <v>1053</v>
      </c>
      <c r="AT61" s="54">
        <f t="shared" si="40"/>
        <v>1064</v>
      </c>
      <c r="AU61" s="54">
        <f t="shared" si="40"/>
        <v>1067</v>
      </c>
      <c r="AV61" s="54">
        <f t="shared" si="40"/>
        <v>1078</v>
      </c>
      <c r="AW61" s="54">
        <f t="shared" si="40"/>
        <v>1081</v>
      </c>
      <c r="AX61" s="54">
        <f t="shared" si="40"/>
        <v>1092</v>
      </c>
      <c r="AY61" s="54">
        <f t="shared" si="40"/>
        <v>1095</v>
      </c>
      <c r="AZ61" s="54">
        <f t="shared" si="40"/>
        <v>1106</v>
      </c>
      <c r="BA61" s="54">
        <f t="shared" si="40"/>
        <v>1109</v>
      </c>
      <c r="BB61" s="54">
        <f t="shared" si="40"/>
        <v>0</v>
      </c>
      <c r="BC61" s="54">
        <f t="shared" si="41"/>
        <v>3</v>
      </c>
      <c r="BD61" s="54">
        <f t="shared" si="41"/>
        <v>14</v>
      </c>
      <c r="BE61" s="54">
        <f t="shared" si="41"/>
        <v>17</v>
      </c>
      <c r="BF61" s="54">
        <f t="shared" si="41"/>
        <v>28</v>
      </c>
      <c r="BG61" s="54">
        <f t="shared" si="41"/>
        <v>31</v>
      </c>
      <c r="BH61" s="54">
        <f t="shared" si="41"/>
        <v>42</v>
      </c>
      <c r="BI61" s="54">
        <f t="shared" si="41"/>
        <v>45</v>
      </c>
      <c r="BJ61" s="54">
        <f t="shared" si="41"/>
        <v>56</v>
      </c>
      <c r="BK61" s="54">
        <f t="shared" si="41"/>
        <v>59</v>
      </c>
      <c r="BL61" s="54">
        <f t="shared" si="41"/>
        <v>70</v>
      </c>
      <c r="BM61" s="54">
        <f t="shared" si="41"/>
        <v>73</v>
      </c>
      <c r="BN61" s="54">
        <f t="shared" si="41"/>
        <v>84</v>
      </c>
      <c r="BO61" s="54">
        <f t="shared" si="41"/>
        <v>87</v>
      </c>
      <c r="BP61" s="54">
        <f t="shared" si="41"/>
        <v>98</v>
      </c>
      <c r="BQ61" s="131">
        <f t="shared" si="41"/>
        <v>101</v>
      </c>
    </row>
    <row r="62" spans="1:70" x14ac:dyDescent="0.25">
      <c r="A62" s="144">
        <v>8</v>
      </c>
      <c r="B62" s="141">
        <v>0</v>
      </c>
      <c r="C62" s="141">
        <v>1</v>
      </c>
      <c r="D62" s="141">
        <v>2</v>
      </c>
      <c r="E62" s="142">
        <v>0</v>
      </c>
      <c r="F62" s="130">
        <f t="shared" si="42"/>
        <v>0</v>
      </c>
      <c r="G62" s="54">
        <f t="shared" si="38"/>
        <v>28</v>
      </c>
      <c r="H62" s="54">
        <f t="shared" si="38"/>
        <v>56</v>
      </c>
      <c r="I62" s="54">
        <f t="shared" si="38"/>
        <v>84</v>
      </c>
      <c r="J62" s="54">
        <f t="shared" si="38"/>
        <v>112</v>
      </c>
      <c r="K62" s="54">
        <f t="shared" si="38"/>
        <v>140</v>
      </c>
      <c r="L62" s="54">
        <f t="shared" si="38"/>
        <v>168</v>
      </c>
      <c r="M62" s="54">
        <f t="shared" si="38"/>
        <v>196</v>
      </c>
      <c r="N62" s="54">
        <f t="shared" si="38"/>
        <v>224</v>
      </c>
      <c r="O62" s="54">
        <f t="shared" si="38"/>
        <v>252</v>
      </c>
      <c r="P62" s="54">
        <f t="shared" si="38"/>
        <v>280</v>
      </c>
      <c r="Q62" s="54">
        <f t="shared" si="38"/>
        <v>308</v>
      </c>
      <c r="R62" s="54">
        <f t="shared" si="38"/>
        <v>336</v>
      </c>
      <c r="S62" s="54">
        <f t="shared" si="38"/>
        <v>364</v>
      </c>
      <c r="T62" s="54">
        <f t="shared" si="38"/>
        <v>392</v>
      </c>
      <c r="U62" s="54">
        <f t="shared" si="38"/>
        <v>420</v>
      </c>
      <c r="V62" s="54">
        <f t="shared" si="38"/>
        <v>448</v>
      </c>
      <c r="W62" s="54">
        <f t="shared" si="39"/>
        <v>476</v>
      </c>
      <c r="X62" s="54">
        <f t="shared" si="39"/>
        <v>504</v>
      </c>
      <c r="Y62" s="54">
        <f t="shared" si="39"/>
        <v>532</v>
      </c>
      <c r="Z62" s="54">
        <f t="shared" si="39"/>
        <v>560</v>
      </c>
      <c r="AA62" s="54">
        <f t="shared" si="39"/>
        <v>588</v>
      </c>
      <c r="AB62" s="54">
        <f t="shared" si="39"/>
        <v>616</v>
      </c>
      <c r="AC62" s="54">
        <f t="shared" si="39"/>
        <v>644</v>
      </c>
      <c r="AD62" s="54">
        <f t="shared" si="39"/>
        <v>672</v>
      </c>
      <c r="AE62" s="54">
        <f t="shared" si="39"/>
        <v>700</v>
      </c>
      <c r="AF62" s="54">
        <f t="shared" si="39"/>
        <v>728</v>
      </c>
      <c r="AG62" s="54">
        <f t="shared" si="39"/>
        <v>756</v>
      </c>
      <c r="AH62" s="54">
        <f t="shared" si="39"/>
        <v>784</v>
      </c>
      <c r="AI62" s="54">
        <f t="shared" si="39"/>
        <v>812</v>
      </c>
      <c r="AJ62" s="54">
        <f t="shared" si="39"/>
        <v>840</v>
      </c>
      <c r="AK62" s="54">
        <f t="shared" si="39"/>
        <v>868</v>
      </c>
      <c r="AL62" s="54">
        <f t="shared" si="39"/>
        <v>896</v>
      </c>
      <c r="AM62" s="54">
        <f t="shared" si="40"/>
        <v>924</v>
      </c>
      <c r="AN62" s="54">
        <f t="shared" si="40"/>
        <v>952</v>
      </c>
      <c r="AO62" s="54">
        <f t="shared" si="40"/>
        <v>980</v>
      </c>
      <c r="AP62" s="54">
        <f t="shared" si="40"/>
        <v>1008</v>
      </c>
      <c r="AQ62" s="54">
        <f t="shared" si="40"/>
        <v>1036</v>
      </c>
      <c r="AR62" s="54">
        <f t="shared" si="40"/>
        <v>1064</v>
      </c>
      <c r="AS62" s="54">
        <f t="shared" si="40"/>
        <v>1092</v>
      </c>
      <c r="AT62" s="54">
        <f t="shared" si="40"/>
        <v>0</v>
      </c>
      <c r="AU62" s="54">
        <f t="shared" si="40"/>
        <v>28</v>
      </c>
      <c r="AV62" s="54">
        <f t="shared" si="40"/>
        <v>56</v>
      </c>
      <c r="AW62" s="54">
        <f t="shared" si="40"/>
        <v>84</v>
      </c>
      <c r="AX62" s="54">
        <f t="shared" si="40"/>
        <v>112</v>
      </c>
      <c r="AY62" s="54">
        <f t="shared" si="40"/>
        <v>140</v>
      </c>
      <c r="AZ62" s="54">
        <f t="shared" si="40"/>
        <v>168</v>
      </c>
      <c r="BA62" s="54">
        <f t="shared" si="40"/>
        <v>196</v>
      </c>
      <c r="BB62" s="54">
        <f t="shared" si="40"/>
        <v>224</v>
      </c>
      <c r="BC62" s="54">
        <f t="shared" si="41"/>
        <v>252</v>
      </c>
      <c r="BD62" s="54">
        <f t="shared" si="41"/>
        <v>280</v>
      </c>
      <c r="BE62" s="54">
        <f t="shared" si="41"/>
        <v>308</v>
      </c>
      <c r="BF62" s="54">
        <f t="shared" si="41"/>
        <v>336</v>
      </c>
      <c r="BG62" s="54">
        <f t="shared" si="41"/>
        <v>364</v>
      </c>
      <c r="BH62" s="54">
        <f t="shared" si="41"/>
        <v>392</v>
      </c>
      <c r="BI62" s="54">
        <f t="shared" si="41"/>
        <v>420</v>
      </c>
      <c r="BJ62" s="54">
        <f t="shared" si="41"/>
        <v>448</v>
      </c>
      <c r="BK62" s="54">
        <f t="shared" si="41"/>
        <v>476</v>
      </c>
      <c r="BL62" s="54">
        <f t="shared" si="41"/>
        <v>504</v>
      </c>
      <c r="BM62" s="54">
        <f t="shared" si="41"/>
        <v>532</v>
      </c>
      <c r="BN62" s="54">
        <f t="shared" si="41"/>
        <v>560</v>
      </c>
      <c r="BO62" s="54">
        <f t="shared" si="41"/>
        <v>588</v>
      </c>
      <c r="BP62" s="54">
        <f t="shared" si="41"/>
        <v>616</v>
      </c>
      <c r="BQ62" s="131">
        <f t="shared" si="41"/>
        <v>644</v>
      </c>
    </row>
    <row r="63" spans="1:70" x14ac:dyDescent="0.25">
      <c r="A63" s="144">
        <v>9</v>
      </c>
      <c r="B63" s="141">
        <v>5</v>
      </c>
      <c r="C63" s="141">
        <v>1</v>
      </c>
      <c r="D63" s="141">
        <v>2</v>
      </c>
      <c r="E63" s="142">
        <v>0</v>
      </c>
      <c r="F63" s="130">
        <f t="shared" si="42"/>
        <v>560</v>
      </c>
      <c r="G63" s="54">
        <f t="shared" si="38"/>
        <v>588</v>
      </c>
      <c r="H63" s="54">
        <f t="shared" si="38"/>
        <v>616</v>
      </c>
      <c r="I63" s="54">
        <f t="shared" si="38"/>
        <v>644</v>
      </c>
      <c r="J63" s="54">
        <f t="shared" si="38"/>
        <v>672</v>
      </c>
      <c r="K63" s="54">
        <f t="shared" si="38"/>
        <v>700</v>
      </c>
      <c r="L63" s="54">
        <f t="shared" si="38"/>
        <v>728</v>
      </c>
      <c r="M63" s="54">
        <f t="shared" si="38"/>
        <v>756</v>
      </c>
      <c r="N63" s="54">
        <f t="shared" si="38"/>
        <v>784</v>
      </c>
      <c r="O63" s="54">
        <f t="shared" si="38"/>
        <v>812</v>
      </c>
      <c r="P63" s="54">
        <f t="shared" si="38"/>
        <v>840</v>
      </c>
      <c r="Q63" s="54">
        <f t="shared" si="38"/>
        <v>868</v>
      </c>
      <c r="R63" s="54">
        <f t="shared" si="38"/>
        <v>896</v>
      </c>
      <c r="S63" s="54">
        <f t="shared" si="38"/>
        <v>924</v>
      </c>
      <c r="T63" s="54">
        <f t="shared" si="38"/>
        <v>952</v>
      </c>
      <c r="U63" s="54">
        <f t="shared" si="38"/>
        <v>980</v>
      </c>
      <c r="V63" s="54">
        <f t="shared" si="38"/>
        <v>1008</v>
      </c>
      <c r="W63" s="54">
        <f t="shared" si="39"/>
        <v>1036</v>
      </c>
      <c r="X63" s="54">
        <f t="shared" si="39"/>
        <v>1064</v>
      </c>
      <c r="Y63" s="54">
        <f t="shared" si="39"/>
        <v>1092</v>
      </c>
      <c r="Z63" s="54">
        <f t="shared" si="39"/>
        <v>0</v>
      </c>
      <c r="AA63" s="54">
        <f t="shared" si="39"/>
        <v>28</v>
      </c>
      <c r="AB63" s="54">
        <f t="shared" si="39"/>
        <v>56</v>
      </c>
      <c r="AC63" s="54">
        <f t="shared" si="39"/>
        <v>84</v>
      </c>
      <c r="AD63" s="54">
        <f t="shared" si="39"/>
        <v>112</v>
      </c>
      <c r="AE63" s="54">
        <f t="shared" si="39"/>
        <v>140</v>
      </c>
      <c r="AF63" s="54">
        <f t="shared" si="39"/>
        <v>168</v>
      </c>
      <c r="AG63" s="54">
        <f t="shared" si="39"/>
        <v>196</v>
      </c>
      <c r="AH63" s="54">
        <f t="shared" si="39"/>
        <v>224</v>
      </c>
      <c r="AI63" s="54">
        <f t="shared" si="39"/>
        <v>252</v>
      </c>
      <c r="AJ63" s="54">
        <f t="shared" si="39"/>
        <v>280</v>
      </c>
      <c r="AK63" s="54">
        <f t="shared" si="39"/>
        <v>308</v>
      </c>
      <c r="AL63" s="54">
        <f t="shared" si="39"/>
        <v>336</v>
      </c>
      <c r="AM63" s="54">
        <f t="shared" si="40"/>
        <v>364</v>
      </c>
      <c r="AN63" s="54">
        <f t="shared" si="40"/>
        <v>392</v>
      </c>
      <c r="AO63" s="54">
        <f t="shared" si="40"/>
        <v>420</v>
      </c>
      <c r="AP63" s="54">
        <f t="shared" si="40"/>
        <v>448</v>
      </c>
      <c r="AQ63" s="54">
        <f t="shared" si="40"/>
        <v>476</v>
      </c>
      <c r="AR63" s="54">
        <f t="shared" si="40"/>
        <v>504</v>
      </c>
      <c r="AS63" s="54">
        <f t="shared" si="40"/>
        <v>532</v>
      </c>
      <c r="AT63" s="54">
        <f t="shared" si="40"/>
        <v>560</v>
      </c>
      <c r="AU63" s="54">
        <f t="shared" si="40"/>
        <v>588</v>
      </c>
      <c r="AV63" s="54">
        <f t="shared" si="40"/>
        <v>616</v>
      </c>
      <c r="AW63" s="54">
        <f t="shared" si="40"/>
        <v>644</v>
      </c>
      <c r="AX63" s="54">
        <f t="shared" si="40"/>
        <v>672</v>
      </c>
      <c r="AY63" s="54">
        <f t="shared" si="40"/>
        <v>700</v>
      </c>
      <c r="AZ63" s="54">
        <f t="shared" si="40"/>
        <v>728</v>
      </c>
      <c r="BA63" s="54">
        <f t="shared" si="40"/>
        <v>756</v>
      </c>
      <c r="BB63" s="54">
        <f t="shared" si="40"/>
        <v>784</v>
      </c>
      <c r="BC63" s="54">
        <f t="shared" si="41"/>
        <v>812</v>
      </c>
      <c r="BD63" s="54">
        <f t="shared" si="41"/>
        <v>840</v>
      </c>
      <c r="BE63" s="54">
        <f t="shared" si="41"/>
        <v>868</v>
      </c>
      <c r="BF63" s="54">
        <f t="shared" si="41"/>
        <v>896</v>
      </c>
      <c r="BG63" s="54">
        <f t="shared" si="41"/>
        <v>924</v>
      </c>
      <c r="BH63" s="54">
        <f t="shared" si="41"/>
        <v>952</v>
      </c>
      <c r="BI63" s="54">
        <f t="shared" si="41"/>
        <v>980</v>
      </c>
      <c r="BJ63" s="54">
        <f t="shared" si="41"/>
        <v>1008</v>
      </c>
      <c r="BK63" s="54">
        <f t="shared" si="41"/>
        <v>1036</v>
      </c>
      <c r="BL63" s="54">
        <f t="shared" si="41"/>
        <v>1064</v>
      </c>
      <c r="BM63" s="54">
        <f t="shared" si="41"/>
        <v>1092</v>
      </c>
      <c r="BN63" s="54">
        <f t="shared" si="41"/>
        <v>0</v>
      </c>
      <c r="BO63" s="54">
        <f t="shared" si="41"/>
        <v>28</v>
      </c>
      <c r="BP63" s="54">
        <f t="shared" si="41"/>
        <v>56</v>
      </c>
      <c r="BQ63" s="131">
        <f t="shared" si="41"/>
        <v>84</v>
      </c>
    </row>
    <row r="64" spans="1:70" x14ac:dyDescent="0.25">
      <c r="A64" s="144">
        <v>10</v>
      </c>
      <c r="B64" s="141">
        <v>0</v>
      </c>
      <c r="C64" s="141">
        <v>1</v>
      </c>
      <c r="D64" s="141">
        <v>1</v>
      </c>
      <c r="E64" s="142">
        <v>1</v>
      </c>
      <c r="F64" s="130">
        <f t="shared" si="42"/>
        <v>1</v>
      </c>
      <c r="G64" s="54">
        <f t="shared" si="38"/>
        <v>15</v>
      </c>
      <c r="H64" s="54">
        <f t="shared" si="38"/>
        <v>29</v>
      </c>
      <c r="I64" s="54">
        <f t="shared" si="38"/>
        <v>43</v>
      </c>
      <c r="J64" s="54">
        <f t="shared" si="38"/>
        <v>57</v>
      </c>
      <c r="K64" s="54">
        <f t="shared" si="38"/>
        <v>71</v>
      </c>
      <c r="L64" s="54">
        <f t="shared" si="38"/>
        <v>85</v>
      </c>
      <c r="M64" s="54">
        <f t="shared" si="38"/>
        <v>99</v>
      </c>
      <c r="N64" s="54">
        <f t="shared" si="38"/>
        <v>113</v>
      </c>
      <c r="O64" s="54">
        <f t="shared" si="38"/>
        <v>127</v>
      </c>
      <c r="P64" s="54">
        <f t="shared" si="38"/>
        <v>141</v>
      </c>
      <c r="Q64" s="54">
        <f t="shared" si="38"/>
        <v>155</v>
      </c>
      <c r="R64" s="54">
        <f t="shared" si="38"/>
        <v>169</v>
      </c>
      <c r="S64" s="54">
        <f t="shared" si="38"/>
        <v>183</v>
      </c>
      <c r="T64" s="54">
        <f t="shared" si="38"/>
        <v>197</v>
      </c>
      <c r="U64" s="54">
        <f t="shared" si="38"/>
        <v>211</v>
      </c>
      <c r="V64" s="54">
        <f t="shared" si="38"/>
        <v>225</v>
      </c>
      <c r="W64" s="54">
        <f t="shared" si="39"/>
        <v>239</v>
      </c>
      <c r="X64" s="54">
        <f t="shared" si="39"/>
        <v>253</v>
      </c>
      <c r="Y64" s="54">
        <f t="shared" si="39"/>
        <v>267</v>
      </c>
      <c r="Z64" s="54">
        <f t="shared" si="39"/>
        <v>281</v>
      </c>
      <c r="AA64" s="54">
        <f t="shared" si="39"/>
        <v>295</v>
      </c>
      <c r="AB64" s="54">
        <f t="shared" si="39"/>
        <v>309</v>
      </c>
      <c r="AC64" s="54">
        <f t="shared" si="39"/>
        <v>323</v>
      </c>
      <c r="AD64" s="54">
        <f t="shared" si="39"/>
        <v>337</v>
      </c>
      <c r="AE64" s="54">
        <f t="shared" si="39"/>
        <v>351</v>
      </c>
      <c r="AF64" s="54">
        <f t="shared" si="39"/>
        <v>365</v>
      </c>
      <c r="AG64" s="54">
        <f t="shared" si="39"/>
        <v>379</v>
      </c>
      <c r="AH64" s="54">
        <f t="shared" si="39"/>
        <v>393</v>
      </c>
      <c r="AI64" s="54">
        <f t="shared" si="39"/>
        <v>407</v>
      </c>
      <c r="AJ64" s="54">
        <f t="shared" si="39"/>
        <v>421</v>
      </c>
      <c r="AK64" s="54">
        <f t="shared" si="39"/>
        <v>435</v>
      </c>
      <c r="AL64" s="54">
        <f t="shared" si="39"/>
        <v>449</v>
      </c>
      <c r="AM64" s="54">
        <f t="shared" si="40"/>
        <v>463</v>
      </c>
      <c r="AN64" s="54">
        <f t="shared" si="40"/>
        <v>477</v>
      </c>
      <c r="AO64" s="54">
        <f t="shared" si="40"/>
        <v>491</v>
      </c>
      <c r="AP64" s="54">
        <f t="shared" si="40"/>
        <v>505</v>
      </c>
      <c r="AQ64" s="54">
        <f t="shared" si="40"/>
        <v>519</v>
      </c>
      <c r="AR64" s="54">
        <f t="shared" si="40"/>
        <v>533</v>
      </c>
      <c r="AS64" s="54">
        <f t="shared" si="40"/>
        <v>547</v>
      </c>
      <c r="AT64" s="54">
        <f t="shared" si="40"/>
        <v>561</v>
      </c>
      <c r="AU64" s="54">
        <f t="shared" si="40"/>
        <v>575</v>
      </c>
      <c r="AV64" s="54">
        <f t="shared" si="40"/>
        <v>589</v>
      </c>
      <c r="AW64" s="54">
        <f t="shared" si="40"/>
        <v>603</v>
      </c>
      <c r="AX64" s="54">
        <f t="shared" si="40"/>
        <v>617</v>
      </c>
      <c r="AY64" s="54">
        <f t="shared" si="40"/>
        <v>631</v>
      </c>
      <c r="AZ64" s="54">
        <f t="shared" si="40"/>
        <v>645</v>
      </c>
      <c r="BA64" s="54">
        <f t="shared" si="40"/>
        <v>659</v>
      </c>
      <c r="BB64" s="54">
        <f t="shared" si="40"/>
        <v>673</v>
      </c>
      <c r="BC64" s="54">
        <f t="shared" si="41"/>
        <v>687</v>
      </c>
      <c r="BD64" s="54">
        <f t="shared" si="41"/>
        <v>701</v>
      </c>
      <c r="BE64" s="54">
        <f t="shared" si="41"/>
        <v>715</v>
      </c>
      <c r="BF64" s="54">
        <f t="shared" si="41"/>
        <v>729</v>
      </c>
      <c r="BG64" s="54">
        <f t="shared" si="41"/>
        <v>743</v>
      </c>
      <c r="BH64" s="54">
        <f t="shared" si="41"/>
        <v>757</v>
      </c>
      <c r="BI64" s="54">
        <f t="shared" si="41"/>
        <v>771</v>
      </c>
      <c r="BJ64" s="54">
        <f t="shared" si="41"/>
        <v>785</v>
      </c>
      <c r="BK64" s="54">
        <f t="shared" si="41"/>
        <v>799</v>
      </c>
      <c r="BL64" s="54">
        <f t="shared" si="41"/>
        <v>813</v>
      </c>
      <c r="BM64" s="54">
        <f t="shared" si="41"/>
        <v>827</v>
      </c>
      <c r="BN64" s="54">
        <f t="shared" si="41"/>
        <v>841</v>
      </c>
      <c r="BO64" s="54">
        <f t="shared" si="41"/>
        <v>855</v>
      </c>
      <c r="BP64" s="54">
        <f t="shared" si="41"/>
        <v>869</v>
      </c>
      <c r="BQ64" s="131">
        <f t="shared" si="41"/>
        <v>883</v>
      </c>
    </row>
    <row r="65" spans="1:69" x14ac:dyDescent="0.25">
      <c r="A65" s="144">
        <v>11</v>
      </c>
      <c r="B65" s="141">
        <v>0</v>
      </c>
      <c r="C65" s="141">
        <v>1</v>
      </c>
      <c r="D65" s="141">
        <v>1</v>
      </c>
      <c r="E65" s="142">
        <v>2</v>
      </c>
      <c r="F65" s="130">
        <f t="shared" si="42"/>
        <v>2</v>
      </c>
      <c r="G65" s="54">
        <f t="shared" si="38"/>
        <v>16</v>
      </c>
      <c r="H65" s="54">
        <f t="shared" si="38"/>
        <v>30</v>
      </c>
      <c r="I65" s="54">
        <f t="shared" si="38"/>
        <v>44</v>
      </c>
      <c r="J65" s="54">
        <f t="shared" si="38"/>
        <v>58</v>
      </c>
      <c r="K65" s="54">
        <f t="shared" si="38"/>
        <v>72</v>
      </c>
      <c r="L65" s="54">
        <f t="shared" si="38"/>
        <v>86</v>
      </c>
      <c r="M65" s="54">
        <f t="shared" si="38"/>
        <v>100</v>
      </c>
      <c r="N65" s="54">
        <f t="shared" si="38"/>
        <v>114</v>
      </c>
      <c r="O65" s="54">
        <f t="shared" si="38"/>
        <v>128</v>
      </c>
      <c r="P65" s="54">
        <f t="shared" si="38"/>
        <v>142</v>
      </c>
      <c r="Q65" s="54">
        <f t="shared" si="38"/>
        <v>156</v>
      </c>
      <c r="R65" s="54">
        <f t="shared" si="38"/>
        <v>170</v>
      </c>
      <c r="S65" s="54">
        <f t="shared" si="38"/>
        <v>184</v>
      </c>
      <c r="T65" s="54">
        <f t="shared" si="38"/>
        <v>198</v>
      </c>
      <c r="U65" s="54">
        <f t="shared" si="38"/>
        <v>212</v>
      </c>
      <c r="V65" s="54">
        <f t="shared" si="38"/>
        <v>226</v>
      </c>
      <c r="W65" s="54">
        <f t="shared" si="39"/>
        <v>240</v>
      </c>
      <c r="X65" s="54">
        <f t="shared" si="39"/>
        <v>254</v>
      </c>
      <c r="Y65" s="54">
        <f t="shared" si="39"/>
        <v>268</v>
      </c>
      <c r="Z65" s="54">
        <f t="shared" si="39"/>
        <v>282</v>
      </c>
      <c r="AA65" s="54">
        <f t="shared" si="39"/>
        <v>296</v>
      </c>
      <c r="AB65" s="54">
        <f t="shared" si="39"/>
        <v>310</v>
      </c>
      <c r="AC65" s="54">
        <f t="shared" si="39"/>
        <v>324</v>
      </c>
      <c r="AD65" s="54">
        <f t="shared" si="39"/>
        <v>338</v>
      </c>
      <c r="AE65" s="54">
        <f t="shared" si="39"/>
        <v>352</v>
      </c>
      <c r="AF65" s="54">
        <f t="shared" si="39"/>
        <v>366</v>
      </c>
      <c r="AG65" s="54">
        <f t="shared" si="39"/>
        <v>380</v>
      </c>
      <c r="AH65" s="54">
        <f t="shared" si="39"/>
        <v>394</v>
      </c>
      <c r="AI65" s="54">
        <f t="shared" si="39"/>
        <v>408</v>
      </c>
      <c r="AJ65" s="54">
        <f t="shared" si="39"/>
        <v>422</v>
      </c>
      <c r="AK65" s="54">
        <f t="shared" si="39"/>
        <v>436</v>
      </c>
      <c r="AL65" s="54">
        <f t="shared" si="39"/>
        <v>450</v>
      </c>
      <c r="AM65" s="54">
        <f t="shared" si="40"/>
        <v>464</v>
      </c>
      <c r="AN65" s="54">
        <f t="shared" si="40"/>
        <v>478</v>
      </c>
      <c r="AO65" s="54">
        <f t="shared" si="40"/>
        <v>492</v>
      </c>
      <c r="AP65" s="54">
        <f t="shared" si="40"/>
        <v>506</v>
      </c>
      <c r="AQ65" s="54">
        <f t="shared" si="40"/>
        <v>520</v>
      </c>
      <c r="AR65" s="54">
        <f t="shared" si="40"/>
        <v>534</v>
      </c>
      <c r="AS65" s="54">
        <f t="shared" si="40"/>
        <v>548</v>
      </c>
      <c r="AT65" s="54">
        <f t="shared" si="40"/>
        <v>562</v>
      </c>
      <c r="AU65" s="54">
        <f t="shared" si="40"/>
        <v>576</v>
      </c>
      <c r="AV65" s="54">
        <f t="shared" si="40"/>
        <v>590</v>
      </c>
      <c r="AW65" s="54">
        <f t="shared" si="40"/>
        <v>604</v>
      </c>
      <c r="AX65" s="54">
        <f t="shared" si="40"/>
        <v>618</v>
      </c>
      <c r="AY65" s="54">
        <f t="shared" si="40"/>
        <v>632</v>
      </c>
      <c r="AZ65" s="54">
        <f t="shared" si="40"/>
        <v>646</v>
      </c>
      <c r="BA65" s="54">
        <f t="shared" si="40"/>
        <v>660</v>
      </c>
      <c r="BB65" s="54">
        <f t="shared" si="40"/>
        <v>674</v>
      </c>
      <c r="BC65" s="54">
        <f t="shared" si="41"/>
        <v>688</v>
      </c>
      <c r="BD65" s="54">
        <f t="shared" si="41"/>
        <v>702</v>
      </c>
      <c r="BE65" s="54">
        <f t="shared" si="41"/>
        <v>716</v>
      </c>
      <c r="BF65" s="54">
        <f t="shared" si="41"/>
        <v>730</v>
      </c>
      <c r="BG65" s="54">
        <f t="shared" si="41"/>
        <v>744</v>
      </c>
      <c r="BH65" s="54">
        <f t="shared" si="41"/>
        <v>758</v>
      </c>
      <c r="BI65" s="54">
        <f t="shared" si="41"/>
        <v>772</v>
      </c>
      <c r="BJ65" s="54">
        <f t="shared" si="41"/>
        <v>786</v>
      </c>
      <c r="BK65" s="54">
        <f t="shared" si="41"/>
        <v>800</v>
      </c>
      <c r="BL65" s="54">
        <f t="shared" si="41"/>
        <v>814</v>
      </c>
      <c r="BM65" s="54">
        <f t="shared" si="41"/>
        <v>828</v>
      </c>
      <c r="BN65" s="54">
        <f t="shared" si="41"/>
        <v>842</v>
      </c>
      <c r="BO65" s="54">
        <f t="shared" si="41"/>
        <v>856</v>
      </c>
      <c r="BP65" s="54">
        <f t="shared" si="41"/>
        <v>870</v>
      </c>
      <c r="BQ65" s="131">
        <f t="shared" si="41"/>
        <v>884</v>
      </c>
    </row>
    <row r="66" spans="1:69" x14ac:dyDescent="0.25">
      <c r="A66" s="144">
        <v>12</v>
      </c>
      <c r="B66" s="141">
        <v>2</v>
      </c>
      <c r="C66" s="141">
        <v>1</v>
      </c>
      <c r="D66" s="141">
        <v>1</v>
      </c>
      <c r="E66" s="142">
        <v>1</v>
      </c>
      <c r="F66" s="130">
        <f t="shared" si="42"/>
        <v>225</v>
      </c>
      <c r="G66" s="54">
        <f t="shared" si="38"/>
        <v>239</v>
      </c>
      <c r="H66" s="54">
        <f t="shared" si="38"/>
        <v>253</v>
      </c>
      <c r="I66" s="54">
        <f t="shared" si="38"/>
        <v>267</v>
      </c>
      <c r="J66" s="54">
        <f t="shared" si="38"/>
        <v>281</v>
      </c>
      <c r="K66" s="54">
        <f t="shared" si="38"/>
        <v>295</v>
      </c>
      <c r="L66" s="54">
        <f t="shared" si="38"/>
        <v>309</v>
      </c>
      <c r="M66" s="54">
        <f t="shared" si="38"/>
        <v>323</v>
      </c>
      <c r="N66" s="54">
        <f t="shared" si="38"/>
        <v>337</v>
      </c>
      <c r="O66" s="54">
        <f t="shared" si="38"/>
        <v>351</v>
      </c>
      <c r="P66" s="54">
        <f t="shared" si="38"/>
        <v>365</v>
      </c>
      <c r="Q66" s="54">
        <f t="shared" si="38"/>
        <v>379</v>
      </c>
      <c r="R66" s="54">
        <f t="shared" si="38"/>
        <v>393</v>
      </c>
      <c r="S66" s="54">
        <f t="shared" si="38"/>
        <v>407</v>
      </c>
      <c r="T66" s="54">
        <f t="shared" si="38"/>
        <v>421</v>
      </c>
      <c r="U66" s="54">
        <f t="shared" si="38"/>
        <v>435</v>
      </c>
      <c r="V66" s="54">
        <f t="shared" si="38"/>
        <v>449</v>
      </c>
      <c r="W66" s="54">
        <f t="shared" si="39"/>
        <v>463</v>
      </c>
      <c r="X66" s="54">
        <f t="shared" si="39"/>
        <v>477</v>
      </c>
      <c r="Y66" s="54">
        <f t="shared" si="39"/>
        <v>491</v>
      </c>
      <c r="Z66" s="54">
        <f t="shared" si="39"/>
        <v>505</v>
      </c>
      <c r="AA66" s="54">
        <f t="shared" si="39"/>
        <v>519</v>
      </c>
      <c r="AB66" s="54">
        <f t="shared" si="39"/>
        <v>533</v>
      </c>
      <c r="AC66" s="54">
        <f t="shared" si="39"/>
        <v>547</v>
      </c>
      <c r="AD66" s="54">
        <f t="shared" si="39"/>
        <v>561</v>
      </c>
      <c r="AE66" s="54">
        <f t="shared" si="39"/>
        <v>575</v>
      </c>
      <c r="AF66" s="54">
        <f t="shared" si="39"/>
        <v>589</v>
      </c>
      <c r="AG66" s="54">
        <f t="shared" si="39"/>
        <v>603</v>
      </c>
      <c r="AH66" s="54">
        <f t="shared" si="39"/>
        <v>617</v>
      </c>
      <c r="AI66" s="54">
        <f t="shared" si="39"/>
        <v>631</v>
      </c>
      <c r="AJ66" s="54">
        <f t="shared" si="39"/>
        <v>645</v>
      </c>
      <c r="AK66" s="54">
        <f t="shared" si="39"/>
        <v>659</v>
      </c>
      <c r="AL66" s="54">
        <f t="shared" si="39"/>
        <v>673</v>
      </c>
      <c r="AM66" s="54">
        <f t="shared" si="40"/>
        <v>687</v>
      </c>
      <c r="AN66" s="54">
        <f t="shared" si="40"/>
        <v>701</v>
      </c>
      <c r="AO66" s="54">
        <f t="shared" si="40"/>
        <v>715</v>
      </c>
      <c r="AP66" s="54">
        <f t="shared" si="40"/>
        <v>729</v>
      </c>
      <c r="AQ66" s="54">
        <f t="shared" si="40"/>
        <v>743</v>
      </c>
      <c r="AR66" s="54">
        <f t="shared" si="40"/>
        <v>757</v>
      </c>
      <c r="AS66" s="54">
        <f t="shared" si="40"/>
        <v>771</v>
      </c>
      <c r="AT66" s="54">
        <f t="shared" si="40"/>
        <v>785</v>
      </c>
      <c r="AU66" s="54">
        <f t="shared" si="40"/>
        <v>799</v>
      </c>
      <c r="AV66" s="54">
        <f t="shared" si="40"/>
        <v>813</v>
      </c>
      <c r="AW66" s="54">
        <f t="shared" si="40"/>
        <v>827</v>
      </c>
      <c r="AX66" s="54">
        <f t="shared" si="40"/>
        <v>841</v>
      </c>
      <c r="AY66" s="54">
        <f t="shared" si="40"/>
        <v>855</v>
      </c>
      <c r="AZ66" s="54">
        <f t="shared" si="40"/>
        <v>869</v>
      </c>
      <c r="BA66" s="54">
        <f t="shared" si="40"/>
        <v>883</v>
      </c>
      <c r="BB66" s="54">
        <f t="shared" si="40"/>
        <v>897</v>
      </c>
      <c r="BC66" s="54">
        <f t="shared" si="41"/>
        <v>911</v>
      </c>
      <c r="BD66" s="54">
        <f t="shared" si="41"/>
        <v>925</v>
      </c>
      <c r="BE66" s="54">
        <f t="shared" si="41"/>
        <v>939</v>
      </c>
      <c r="BF66" s="54">
        <f t="shared" si="41"/>
        <v>953</v>
      </c>
      <c r="BG66" s="54">
        <f t="shared" si="41"/>
        <v>967</v>
      </c>
      <c r="BH66" s="54">
        <f t="shared" si="41"/>
        <v>981</v>
      </c>
      <c r="BI66" s="54">
        <f t="shared" si="41"/>
        <v>995</v>
      </c>
      <c r="BJ66" s="54">
        <f t="shared" si="41"/>
        <v>1009</v>
      </c>
      <c r="BK66" s="54">
        <f t="shared" si="41"/>
        <v>1023</v>
      </c>
      <c r="BL66" s="54">
        <f t="shared" si="41"/>
        <v>1037</v>
      </c>
      <c r="BM66" s="54">
        <f t="shared" si="41"/>
        <v>1051</v>
      </c>
      <c r="BN66" s="54">
        <f t="shared" si="41"/>
        <v>1065</v>
      </c>
      <c r="BO66" s="54">
        <f t="shared" si="41"/>
        <v>1079</v>
      </c>
      <c r="BP66" s="54">
        <f t="shared" si="41"/>
        <v>1093</v>
      </c>
      <c r="BQ66" s="131">
        <f t="shared" si="41"/>
        <v>1107</v>
      </c>
    </row>
    <row r="67" spans="1:69" x14ac:dyDescent="0.25">
      <c r="A67" s="144">
        <v>13</v>
      </c>
      <c r="B67" s="141">
        <v>2</v>
      </c>
      <c r="C67" s="141">
        <v>1</v>
      </c>
      <c r="D67" s="141">
        <v>1</v>
      </c>
      <c r="E67" s="142">
        <v>2</v>
      </c>
      <c r="F67" s="130">
        <f t="shared" si="42"/>
        <v>226</v>
      </c>
      <c r="G67" s="54">
        <f t="shared" si="38"/>
        <v>240</v>
      </c>
      <c r="H67" s="54">
        <f t="shared" si="38"/>
        <v>254</v>
      </c>
      <c r="I67" s="54">
        <f t="shared" si="38"/>
        <v>268</v>
      </c>
      <c r="J67" s="54">
        <f t="shared" si="38"/>
        <v>282</v>
      </c>
      <c r="K67" s="54">
        <f t="shared" si="38"/>
        <v>296</v>
      </c>
      <c r="L67" s="54">
        <f t="shared" si="38"/>
        <v>310</v>
      </c>
      <c r="M67" s="54">
        <f t="shared" si="38"/>
        <v>324</v>
      </c>
      <c r="N67" s="54">
        <f t="shared" si="38"/>
        <v>338</v>
      </c>
      <c r="O67" s="54">
        <f t="shared" si="38"/>
        <v>352</v>
      </c>
      <c r="P67" s="54">
        <f t="shared" si="38"/>
        <v>366</v>
      </c>
      <c r="Q67" s="54">
        <f t="shared" si="38"/>
        <v>380</v>
      </c>
      <c r="R67" s="54">
        <f t="shared" si="38"/>
        <v>394</v>
      </c>
      <c r="S67" s="54">
        <f t="shared" si="38"/>
        <v>408</v>
      </c>
      <c r="T67" s="54">
        <f t="shared" si="38"/>
        <v>422</v>
      </c>
      <c r="U67" s="54">
        <f t="shared" si="38"/>
        <v>436</v>
      </c>
      <c r="V67" s="54">
        <f t="shared" si="38"/>
        <v>450</v>
      </c>
      <c r="W67" s="54">
        <f t="shared" si="39"/>
        <v>464</v>
      </c>
      <c r="X67" s="54">
        <f t="shared" si="39"/>
        <v>478</v>
      </c>
      <c r="Y67" s="54">
        <f t="shared" si="39"/>
        <v>492</v>
      </c>
      <c r="Z67" s="54">
        <f t="shared" si="39"/>
        <v>506</v>
      </c>
      <c r="AA67" s="54">
        <f t="shared" si="39"/>
        <v>520</v>
      </c>
      <c r="AB67" s="54">
        <f t="shared" si="39"/>
        <v>534</v>
      </c>
      <c r="AC67" s="54">
        <f t="shared" si="39"/>
        <v>548</v>
      </c>
      <c r="AD67" s="54">
        <f t="shared" si="39"/>
        <v>562</v>
      </c>
      <c r="AE67" s="54">
        <f t="shared" si="39"/>
        <v>576</v>
      </c>
      <c r="AF67" s="54">
        <f t="shared" si="39"/>
        <v>590</v>
      </c>
      <c r="AG67" s="54">
        <f t="shared" si="39"/>
        <v>604</v>
      </c>
      <c r="AH67" s="54">
        <f t="shared" si="39"/>
        <v>618</v>
      </c>
      <c r="AI67" s="54">
        <f t="shared" si="39"/>
        <v>632</v>
      </c>
      <c r="AJ67" s="54">
        <f t="shared" si="39"/>
        <v>646</v>
      </c>
      <c r="AK67" s="54">
        <f t="shared" si="39"/>
        <v>660</v>
      </c>
      <c r="AL67" s="54">
        <f t="shared" si="39"/>
        <v>674</v>
      </c>
      <c r="AM67" s="54">
        <f t="shared" si="40"/>
        <v>688</v>
      </c>
      <c r="AN67" s="54">
        <f t="shared" si="40"/>
        <v>702</v>
      </c>
      <c r="AO67" s="54">
        <f t="shared" si="40"/>
        <v>716</v>
      </c>
      <c r="AP67" s="54">
        <f t="shared" si="40"/>
        <v>730</v>
      </c>
      <c r="AQ67" s="54">
        <f t="shared" si="40"/>
        <v>744</v>
      </c>
      <c r="AR67" s="54">
        <f t="shared" si="40"/>
        <v>758</v>
      </c>
      <c r="AS67" s="54">
        <f t="shared" si="40"/>
        <v>772</v>
      </c>
      <c r="AT67" s="54">
        <f t="shared" si="40"/>
        <v>786</v>
      </c>
      <c r="AU67" s="54">
        <f t="shared" si="40"/>
        <v>800</v>
      </c>
      <c r="AV67" s="54">
        <f t="shared" si="40"/>
        <v>814</v>
      </c>
      <c r="AW67" s="54">
        <f t="shared" si="40"/>
        <v>828</v>
      </c>
      <c r="AX67" s="54">
        <f t="shared" si="40"/>
        <v>842</v>
      </c>
      <c r="AY67" s="54">
        <f t="shared" si="40"/>
        <v>856</v>
      </c>
      <c r="AZ67" s="54">
        <f t="shared" si="40"/>
        <v>870</v>
      </c>
      <c r="BA67" s="54">
        <f t="shared" si="40"/>
        <v>884</v>
      </c>
      <c r="BB67" s="54">
        <f t="shared" si="40"/>
        <v>898</v>
      </c>
      <c r="BC67" s="54">
        <f t="shared" si="41"/>
        <v>912</v>
      </c>
      <c r="BD67" s="54">
        <f t="shared" si="41"/>
        <v>926</v>
      </c>
      <c r="BE67" s="54">
        <f t="shared" si="41"/>
        <v>940</v>
      </c>
      <c r="BF67" s="54">
        <f t="shared" si="41"/>
        <v>954</v>
      </c>
      <c r="BG67" s="54">
        <f t="shared" si="41"/>
        <v>968</v>
      </c>
      <c r="BH67" s="54">
        <f t="shared" si="41"/>
        <v>982</v>
      </c>
      <c r="BI67" s="54">
        <f t="shared" si="41"/>
        <v>996</v>
      </c>
      <c r="BJ67" s="54">
        <f t="shared" si="41"/>
        <v>1010</v>
      </c>
      <c r="BK67" s="54">
        <f t="shared" si="41"/>
        <v>1024</v>
      </c>
      <c r="BL67" s="54">
        <f t="shared" si="41"/>
        <v>1038</v>
      </c>
      <c r="BM67" s="54">
        <f t="shared" si="41"/>
        <v>1052</v>
      </c>
      <c r="BN67" s="54">
        <f t="shared" si="41"/>
        <v>1066</v>
      </c>
      <c r="BO67" s="54">
        <f t="shared" si="41"/>
        <v>1080</v>
      </c>
      <c r="BP67" s="54">
        <f t="shared" si="41"/>
        <v>1094</v>
      </c>
      <c r="BQ67" s="131">
        <f t="shared" si="41"/>
        <v>1108</v>
      </c>
    </row>
    <row r="68" spans="1:69" x14ac:dyDescent="0.25">
      <c r="A68" s="144">
        <v>14</v>
      </c>
      <c r="B68" s="141">
        <v>5</v>
      </c>
      <c r="C68" s="141">
        <v>1</v>
      </c>
      <c r="D68" s="141">
        <v>1</v>
      </c>
      <c r="E68" s="142">
        <v>1</v>
      </c>
      <c r="F68" s="130">
        <f t="shared" si="42"/>
        <v>561</v>
      </c>
      <c r="G68" s="54">
        <f t="shared" si="38"/>
        <v>575</v>
      </c>
      <c r="H68" s="54">
        <f t="shared" si="38"/>
        <v>589</v>
      </c>
      <c r="I68" s="54">
        <f t="shared" si="38"/>
        <v>603</v>
      </c>
      <c r="J68" s="54">
        <f t="shared" si="38"/>
        <v>617</v>
      </c>
      <c r="K68" s="54">
        <f t="shared" si="38"/>
        <v>631</v>
      </c>
      <c r="L68" s="54">
        <f t="shared" si="38"/>
        <v>645</v>
      </c>
      <c r="M68" s="54">
        <f t="shared" si="38"/>
        <v>659</v>
      </c>
      <c r="N68" s="54">
        <f t="shared" si="38"/>
        <v>673</v>
      </c>
      <c r="O68" s="54">
        <f t="shared" si="38"/>
        <v>687</v>
      </c>
      <c r="P68" s="54">
        <f t="shared" si="38"/>
        <v>701</v>
      </c>
      <c r="Q68" s="54">
        <f t="shared" si="38"/>
        <v>715</v>
      </c>
      <c r="R68" s="54">
        <f t="shared" si="38"/>
        <v>729</v>
      </c>
      <c r="S68" s="54">
        <f t="shared" si="38"/>
        <v>743</v>
      </c>
      <c r="T68" s="54">
        <f t="shared" si="38"/>
        <v>757</v>
      </c>
      <c r="U68" s="54">
        <f t="shared" si="38"/>
        <v>771</v>
      </c>
      <c r="V68" s="54">
        <f t="shared" si="38"/>
        <v>785</v>
      </c>
      <c r="W68" s="54">
        <f t="shared" si="39"/>
        <v>799</v>
      </c>
      <c r="X68" s="54">
        <f t="shared" si="39"/>
        <v>813</v>
      </c>
      <c r="Y68" s="54">
        <f t="shared" si="39"/>
        <v>827</v>
      </c>
      <c r="Z68" s="54">
        <f t="shared" si="39"/>
        <v>841</v>
      </c>
      <c r="AA68" s="54">
        <f t="shared" si="39"/>
        <v>855</v>
      </c>
      <c r="AB68" s="54">
        <f t="shared" si="39"/>
        <v>869</v>
      </c>
      <c r="AC68" s="54">
        <f t="shared" si="39"/>
        <v>883</v>
      </c>
      <c r="AD68" s="54">
        <f t="shared" si="39"/>
        <v>897</v>
      </c>
      <c r="AE68" s="54">
        <f t="shared" si="39"/>
        <v>911</v>
      </c>
      <c r="AF68" s="54">
        <f t="shared" si="39"/>
        <v>925</v>
      </c>
      <c r="AG68" s="54">
        <f t="shared" si="39"/>
        <v>939</v>
      </c>
      <c r="AH68" s="54">
        <f t="shared" si="39"/>
        <v>953</v>
      </c>
      <c r="AI68" s="54">
        <f t="shared" si="39"/>
        <v>967</v>
      </c>
      <c r="AJ68" s="54">
        <f t="shared" si="39"/>
        <v>981</v>
      </c>
      <c r="AK68" s="54">
        <f t="shared" si="39"/>
        <v>995</v>
      </c>
      <c r="AL68" s="54">
        <f t="shared" si="39"/>
        <v>1009</v>
      </c>
      <c r="AM68" s="54">
        <f t="shared" si="40"/>
        <v>1023</v>
      </c>
      <c r="AN68" s="54">
        <f t="shared" si="40"/>
        <v>1037</v>
      </c>
      <c r="AO68" s="54">
        <f t="shared" si="40"/>
        <v>1051</v>
      </c>
      <c r="AP68" s="54">
        <f t="shared" si="40"/>
        <v>1065</v>
      </c>
      <c r="AQ68" s="54">
        <f t="shared" si="40"/>
        <v>1079</v>
      </c>
      <c r="AR68" s="54">
        <f t="shared" si="40"/>
        <v>1093</v>
      </c>
      <c r="AS68" s="54">
        <f t="shared" si="40"/>
        <v>1107</v>
      </c>
      <c r="AT68" s="54">
        <f t="shared" si="40"/>
        <v>1</v>
      </c>
      <c r="AU68" s="54">
        <f t="shared" si="40"/>
        <v>15</v>
      </c>
      <c r="AV68" s="54">
        <f t="shared" si="40"/>
        <v>29</v>
      </c>
      <c r="AW68" s="54">
        <f t="shared" si="40"/>
        <v>43</v>
      </c>
      <c r="AX68" s="54">
        <f t="shared" si="40"/>
        <v>57</v>
      </c>
      <c r="AY68" s="54">
        <f t="shared" si="40"/>
        <v>71</v>
      </c>
      <c r="AZ68" s="54">
        <f t="shared" si="40"/>
        <v>85</v>
      </c>
      <c r="BA68" s="54">
        <f t="shared" si="40"/>
        <v>99</v>
      </c>
      <c r="BB68" s="54">
        <f t="shared" si="40"/>
        <v>113</v>
      </c>
      <c r="BC68" s="54">
        <f t="shared" si="41"/>
        <v>127</v>
      </c>
      <c r="BD68" s="54">
        <f t="shared" si="41"/>
        <v>141</v>
      </c>
      <c r="BE68" s="54">
        <f t="shared" si="41"/>
        <v>155</v>
      </c>
      <c r="BF68" s="54">
        <f t="shared" si="41"/>
        <v>169</v>
      </c>
      <c r="BG68" s="54">
        <f t="shared" si="41"/>
        <v>183</v>
      </c>
      <c r="BH68" s="54">
        <f t="shared" si="41"/>
        <v>197</v>
      </c>
      <c r="BI68" s="54">
        <f t="shared" si="41"/>
        <v>211</v>
      </c>
      <c r="BJ68" s="54">
        <f t="shared" si="41"/>
        <v>225</v>
      </c>
      <c r="BK68" s="54">
        <f t="shared" si="41"/>
        <v>239</v>
      </c>
      <c r="BL68" s="54">
        <f t="shared" si="41"/>
        <v>253</v>
      </c>
      <c r="BM68" s="54">
        <f t="shared" si="41"/>
        <v>267</v>
      </c>
      <c r="BN68" s="54">
        <f t="shared" si="41"/>
        <v>281</v>
      </c>
      <c r="BO68" s="54">
        <f t="shared" si="41"/>
        <v>295</v>
      </c>
      <c r="BP68" s="54">
        <f t="shared" si="41"/>
        <v>309</v>
      </c>
      <c r="BQ68" s="131">
        <f t="shared" si="41"/>
        <v>323</v>
      </c>
    </row>
    <row r="69" spans="1:69" ht="15.75" thickBot="1" x14ac:dyDescent="0.3">
      <c r="A69" s="145">
        <v>15</v>
      </c>
      <c r="B69" s="146">
        <v>5</v>
      </c>
      <c r="C69" s="146">
        <v>1</v>
      </c>
      <c r="D69" s="146">
        <v>1</v>
      </c>
      <c r="E69" s="177">
        <v>2</v>
      </c>
      <c r="F69" s="132">
        <f t="shared" si="42"/>
        <v>562</v>
      </c>
      <c r="G69" s="133">
        <f t="shared" si="38"/>
        <v>576</v>
      </c>
      <c r="H69" s="133">
        <f t="shared" si="38"/>
        <v>590</v>
      </c>
      <c r="I69" s="133">
        <f t="shared" si="38"/>
        <v>604</v>
      </c>
      <c r="J69" s="133">
        <f t="shared" si="38"/>
        <v>618</v>
      </c>
      <c r="K69" s="133">
        <f t="shared" si="38"/>
        <v>632</v>
      </c>
      <c r="L69" s="133">
        <f t="shared" si="38"/>
        <v>646</v>
      </c>
      <c r="M69" s="133">
        <f t="shared" si="38"/>
        <v>660</v>
      </c>
      <c r="N69" s="133">
        <f t="shared" si="38"/>
        <v>674</v>
      </c>
      <c r="O69" s="133">
        <f t="shared" si="38"/>
        <v>688</v>
      </c>
      <c r="P69" s="133">
        <f t="shared" si="38"/>
        <v>702</v>
      </c>
      <c r="Q69" s="133">
        <f t="shared" si="38"/>
        <v>716</v>
      </c>
      <c r="R69" s="133">
        <f t="shared" si="38"/>
        <v>730</v>
      </c>
      <c r="S69" s="133">
        <f t="shared" si="38"/>
        <v>744</v>
      </c>
      <c r="T69" s="133">
        <f t="shared" si="38"/>
        <v>758</v>
      </c>
      <c r="U69" s="133">
        <f t="shared" si="38"/>
        <v>772</v>
      </c>
      <c r="V69" s="133">
        <f t="shared" ref="V69" si="43">14*MOD($B69*2^$F$52+INT(V$53*$D69),10*2^$F$52)+IF(ISNUMBER($E69),$E69,IF(ISEVEN(V$53),0,$C$51))</f>
        <v>786</v>
      </c>
      <c r="W69" s="133">
        <f t="shared" si="39"/>
        <v>800</v>
      </c>
      <c r="X69" s="133">
        <f t="shared" si="39"/>
        <v>814</v>
      </c>
      <c r="Y69" s="133">
        <f t="shared" si="39"/>
        <v>828</v>
      </c>
      <c r="Z69" s="133">
        <f t="shared" si="39"/>
        <v>842</v>
      </c>
      <c r="AA69" s="133">
        <f t="shared" si="39"/>
        <v>856</v>
      </c>
      <c r="AB69" s="133">
        <f t="shared" si="39"/>
        <v>870</v>
      </c>
      <c r="AC69" s="133">
        <f t="shared" si="39"/>
        <v>884</v>
      </c>
      <c r="AD69" s="133">
        <f t="shared" si="39"/>
        <v>898</v>
      </c>
      <c r="AE69" s="133">
        <f t="shared" si="39"/>
        <v>912</v>
      </c>
      <c r="AF69" s="133">
        <f t="shared" si="39"/>
        <v>926</v>
      </c>
      <c r="AG69" s="133">
        <f t="shared" si="39"/>
        <v>940</v>
      </c>
      <c r="AH69" s="133">
        <f t="shared" si="39"/>
        <v>954</v>
      </c>
      <c r="AI69" s="133">
        <f t="shared" si="39"/>
        <v>968</v>
      </c>
      <c r="AJ69" s="133">
        <f t="shared" si="39"/>
        <v>982</v>
      </c>
      <c r="AK69" s="133">
        <f t="shared" si="39"/>
        <v>996</v>
      </c>
      <c r="AL69" s="133">
        <f t="shared" ref="AL69" si="44">14*MOD($B69*2^$F$52+INT(AL$53*$D69),10*2^$F$52)+IF(ISNUMBER($E69),$E69,IF(ISEVEN(AL$53),0,$C$51))</f>
        <v>1010</v>
      </c>
      <c r="AM69" s="133">
        <f t="shared" si="40"/>
        <v>1024</v>
      </c>
      <c r="AN69" s="133">
        <f t="shared" si="40"/>
        <v>1038</v>
      </c>
      <c r="AO69" s="133">
        <f t="shared" si="40"/>
        <v>1052</v>
      </c>
      <c r="AP69" s="133">
        <f t="shared" si="40"/>
        <v>1066</v>
      </c>
      <c r="AQ69" s="133">
        <f t="shared" si="40"/>
        <v>1080</v>
      </c>
      <c r="AR69" s="133">
        <f t="shared" si="40"/>
        <v>1094</v>
      </c>
      <c r="AS69" s="133">
        <f t="shared" si="40"/>
        <v>1108</v>
      </c>
      <c r="AT69" s="133">
        <f t="shared" si="40"/>
        <v>2</v>
      </c>
      <c r="AU69" s="133">
        <f t="shared" si="40"/>
        <v>16</v>
      </c>
      <c r="AV69" s="133">
        <f t="shared" si="40"/>
        <v>30</v>
      </c>
      <c r="AW69" s="133">
        <f t="shared" si="40"/>
        <v>44</v>
      </c>
      <c r="AX69" s="133">
        <f t="shared" si="40"/>
        <v>58</v>
      </c>
      <c r="AY69" s="133">
        <f t="shared" si="40"/>
        <v>72</v>
      </c>
      <c r="AZ69" s="133">
        <f t="shared" si="40"/>
        <v>86</v>
      </c>
      <c r="BA69" s="133">
        <f t="shared" si="40"/>
        <v>100</v>
      </c>
      <c r="BB69" s="133">
        <f t="shared" ref="BB69" si="45">14*MOD($B69*2^$F$52+INT(BB$53*$D69),10*2^$F$52)+IF(ISNUMBER($E69),$E69,IF(ISEVEN(BB$53),0,$C$51))</f>
        <v>114</v>
      </c>
      <c r="BC69" s="133">
        <f t="shared" si="41"/>
        <v>128</v>
      </c>
      <c r="BD69" s="133">
        <f t="shared" si="41"/>
        <v>142</v>
      </c>
      <c r="BE69" s="133">
        <f t="shared" si="41"/>
        <v>156</v>
      </c>
      <c r="BF69" s="133">
        <f t="shared" si="41"/>
        <v>170</v>
      </c>
      <c r="BG69" s="133">
        <f t="shared" si="41"/>
        <v>184</v>
      </c>
      <c r="BH69" s="133">
        <f t="shared" si="41"/>
        <v>198</v>
      </c>
      <c r="BI69" s="133">
        <f t="shared" si="41"/>
        <v>212</v>
      </c>
      <c r="BJ69" s="133">
        <f t="shared" si="41"/>
        <v>226</v>
      </c>
      <c r="BK69" s="133">
        <f t="shared" si="41"/>
        <v>240</v>
      </c>
      <c r="BL69" s="133">
        <f t="shared" si="41"/>
        <v>254</v>
      </c>
      <c r="BM69" s="133">
        <f t="shared" si="41"/>
        <v>268</v>
      </c>
      <c r="BN69" s="133">
        <f t="shared" si="41"/>
        <v>282</v>
      </c>
      <c r="BO69" s="133">
        <f t="shared" si="41"/>
        <v>296</v>
      </c>
      <c r="BP69" s="133">
        <f t="shared" si="41"/>
        <v>310</v>
      </c>
      <c r="BQ69" s="134">
        <f t="shared" si="41"/>
        <v>324</v>
      </c>
    </row>
  </sheetData>
  <mergeCells count="16">
    <mergeCell ref="F7:M7"/>
    <mergeCell ref="F6:M6"/>
    <mergeCell ref="N6:U6"/>
    <mergeCell ref="N7:U7"/>
    <mergeCell ref="N13:U13"/>
    <mergeCell ref="N12:U12"/>
    <mergeCell ref="F52:BQ52"/>
    <mergeCell ref="F51:BQ51"/>
    <mergeCell ref="F30:AC30"/>
    <mergeCell ref="AE31:AL31"/>
    <mergeCell ref="AM31:AT31"/>
    <mergeCell ref="AU31:BB31"/>
    <mergeCell ref="AE30:BB30"/>
    <mergeCell ref="F31:M31"/>
    <mergeCell ref="N31:U31"/>
    <mergeCell ref="V31:AC31"/>
  </mergeCells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C7CC7-AE33-4746-874D-AE0D55091B08}">
  <dimension ref="B1:K37"/>
  <sheetViews>
    <sheetView tabSelected="1" workbookViewId="0">
      <selection activeCell="O34" sqref="O34"/>
    </sheetView>
  </sheetViews>
  <sheetFormatPr baseColWidth="10" defaultRowHeight="15" x14ac:dyDescent="0.25"/>
  <sheetData>
    <row r="1" spans="2:11" x14ac:dyDescent="0.25">
      <c r="B1" s="195" t="s">
        <v>237</v>
      </c>
      <c r="C1" s="194" t="s">
        <v>236</v>
      </c>
      <c r="D1" s="193" t="s">
        <v>235</v>
      </c>
      <c r="E1" s="192" t="s">
        <v>234</v>
      </c>
      <c r="F1" s="192" t="s">
        <v>233</v>
      </c>
      <c r="G1" s="192" t="s">
        <v>232</v>
      </c>
      <c r="H1" s="192" t="s">
        <v>231</v>
      </c>
      <c r="I1" s="192" t="s">
        <v>230</v>
      </c>
      <c r="J1" s="192" t="s">
        <v>229</v>
      </c>
      <c r="K1" s="192" t="s">
        <v>228</v>
      </c>
    </row>
    <row r="2" spans="2:11" x14ac:dyDescent="0.25">
      <c r="B2" s="190">
        <v>8</v>
      </c>
      <c r="C2" s="191">
        <f>ROUNDUP(LOG(B2*(B2+1)/2,2),0)</f>
        <v>6</v>
      </c>
      <c r="D2" s="188">
        <f>2^C2-1</f>
        <v>63</v>
      </c>
      <c r="E2" s="190">
        <v>0</v>
      </c>
      <c r="F2" s="190">
        <v>1</v>
      </c>
      <c r="G2" s="189">
        <f t="shared" ref="G2:G37" si="0">IF(H2="A",I2,J2)</f>
        <v>0</v>
      </c>
      <c r="H2" s="188" t="str">
        <f t="shared" ref="H2:H37" si="1">IF((F2-1)&lt;=ROUNDDOWN($B$2/2,0),"A","B")</f>
        <v>A</v>
      </c>
      <c r="I2" s="188">
        <f t="shared" ref="I2:I37" si="2">$B$2*(F2-1)+E2</f>
        <v>0</v>
      </c>
      <c r="J2" s="188">
        <f t="shared" ref="J2:J37" si="3">$B$2*($B$2-F2+1)+($B$2-1-E2)</f>
        <v>71</v>
      </c>
      <c r="K2" s="188" t="str">
        <f t="shared" ref="K2:K37" si="4">IF(G2&lt;=$D$2,"ok","ERROR!!")</f>
        <v>ok</v>
      </c>
    </row>
    <row r="3" spans="2:11" x14ac:dyDescent="0.25">
      <c r="E3" s="189">
        <f t="shared" ref="E3:E37" si="5">IF(F2=$B$2-E2,E2+1,E2)</f>
        <v>0</v>
      </c>
      <c r="F3" s="189">
        <f t="shared" ref="F3:F37" si="6">IF($B$2=F2+E2,1,F2+1)</f>
        <v>2</v>
      </c>
      <c r="G3" s="189">
        <f t="shared" si="0"/>
        <v>8</v>
      </c>
      <c r="H3" s="188" t="str">
        <f t="shared" si="1"/>
        <v>A</v>
      </c>
      <c r="I3" s="188">
        <f t="shared" si="2"/>
        <v>8</v>
      </c>
      <c r="J3" s="188">
        <f t="shared" si="3"/>
        <v>63</v>
      </c>
      <c r="K3" s="188" t="str">
        <f t="shared" si="4"/>
        <v>ok</v>
      </c>
    </row>
    <row r="4" spans="2:11" x14ac:dyDescent="0.25">
      <c r="E4" s="189">
        <f t="shared" si="5"/>
        <v>0</v>
      </c>
      <c r="F4" s="189">
        <f t="shared" si="6"/>
        <v>3</v>
      </c>
      <c r="G4" s="189">
        <f t="shared" si="0"/>
        <v>16</v>
      </c>
      <c r="H4" s="188" t="str">
        <f t="shared" si="1"/>
        <v>A</v>
      </c>
      <c r="I4" s="188">
        <f t="shared" si="2"/>
        <v>16</v>
      </c>
      <c r="J4" s="188">
        <f t="shared" si="3"/>
        <v>55</v>
      </c>
      <c r="K4" s="188" t="str">
        <f t="shared" si="4"/>
        <v>ok</v>
      </c>
    </row>
    <row r="5" spans="2:11" x14ac:dyDescent="0.25">
      <c r="E5" s="189">
        <f t="shared" si="5"/>
        <v>0</v>
      </c>
      <c r="F5" s="189">
        <f t="shared" si="6"/>
        <v>4</v>
      </c>
      <c r="G5" s="189">
        <f t="shared" si="0"/>
        <v>24</v>
      </c>
      <c r="H5" s="188" t="str">
        <f t="shared" si="1"/>
        <v>A</v>
      </c>
      <c r="I5" s="188">
        <f t="shared" si="2"/>
        <v>24</v>
      </c>
      <c r="J5" s="188">
        <f t="shared" si="3"/>
        <v>47</v>
      </c>
      <c r="K5" s="188" t="str">
        <f t="shared" si="4"/>
        <v>ok</v>
      </c>
    </row>
    <row r="6" spans="2:11" x14ac:dyDescent="0.25">
      <c r="E6" s="189">
        <f t="shared" si="5"/>
        <v>0</v>
      </c>
      <c r="F6" s="189">
        <f t="shared" si="6"/>
        <v>5</v>
      </c>
      <c r="G6" s="189">
        <f t="shared" si="0"/>
        <v>32</v>
      </c>
      <c r="H6" s="188" t="str">
        <f t="shared" si="1"/>
        <v>A</v>
      </c>
      <c r="I6" s="188">
        <f t="shared" si="2"/>
        <v>32</v>
      </c>
      <c r="J6" s="188">
        <f t="shared" si="3"/>
        <v>39</v>
      </c>
      <c r="K6" s="188" t="str">
        <f t="shared" si="4"/>
        <v>ok</v>
      </c>
    </row>
    <row r="7" spans="2:11" x14ac:dyDescent="0.25">
      <c r="E7" s="189">
        <f t="shared" si="5"/>
        <v>0</v>
      </c>
      <c r="F7" s="189">
        <f t="shared" si="6"/>
        <v>6</v>
      </c>
      <c r="G7" s="189">
        <f t="shared" si="0"/>
        <v>31</v>
      </c>
      <c r="H7" s="188" t="str">
        <f t="shared" si="1"/>
        <v>B</v>
      </c>
      <c r="I7" s="188">
        <f t="shared" si="2"/>
        <v>40</v>
      </c>
      <c r="J7" s="188">
        <f t="shared" si="3"/>
        <v>31</v>
      </c>
      <c r="K7" s="188" t="str">
        <f t="shared" si="4"/>
        <v>ok</v>
      </c>
    </row>
    <row r="8" spans="2:11" x14ac:dyDescent="0.25">
      <c r="E8" s="189">
        <f t="shared" si="5"/>
        <v>0</v>
      </c>
      <c r="F8" s="189">
        <f t="shared" si="6"/>
        <v>7</v>
      </c>
      <c r="G8" s="189">
        <f t="shared" si="0"/>
        <v>23</v>
      </c>
      <c r="H8" s="188" t="str">
        <f t="shared" si="1"/>
        <v>B</v>
      </c>
      <c r="I8" s="188">
        <f t="shared" si="2"/>
        <v>48</v>
      </c>
      <c r="J8" s="188">
        <f t="shared" si="3"/>
        <v>23</v>
      </c>
      <c r="K8" s="188" t="str">
        <f t="shared" si="4"/>
        <v>ok</v>
      </c>
    </row>
    <row r="9" spans="2:11" x14ac:dyDescent="0.25">
      <c r="E9" s="189">
        <f t="shared" si="5"/>
        <v>0</v>
      </c>
      <c r="F9" s="189">
        <f t="shared" si="6"/>
        <v>8</v>
      </c>
      <c r="G9" s="189">
        <f t="shared" si="0"/>
        <v>15</v>
      </c>
      <c r="H9" s="188" t="str">
        <f t="shared" si="1"/>
        <v>B</v>
      </c>
      <c r="I9" s="188">
        <f t="shared" si="2"/>
        <v>56</v>
      </c>
      <c r="J9" s="188">
        <f t="shared" si="3"/>
        <v>15</v>
      </c>
      <c r="K9" s="188" t="str">
        <f t="shared" si="4"/>
        <v>ok</v>
      </c>
    </row>
    <row r="10" spans="2:11" x14ac:dyDescent="0.25">
      <c r="E10" s="189">
        <f t="shared" si="5"/>
        <v>1</v>
      </c>
      <c r="F10" s="189">
        <f t="shared" si="6"/>
        <v>1</v>
      </c>
      <c r="G10" s="189">
        <f t="shared" si="0"/>
        <v>1</v>
      </c>
      <c r="H10" s="188" t="str">
        <f t="shared" si="1"/>
        <v>A</v>
      </c>
      <c r="I10" s="188">
        <f t="shared" si="2"/>
        <v>1</v>
      </c>
      <c r="J10" s="188">
        <f t="shared" si="3"/>
        <v>70</v>
      </c>
      <c r="K10" s="188" t="str">
        <f t="shared" si="4"/>
        <v>ok</v>
      </c>
    </row>
    <row r="11" spans="2:11" x14ac:dyDescent="0.25">
      <c r="E11" s="189">
        <f t="shared" si="5"/>
        <v>1</v>
      </c>
      <c r="F11" s="189">
        <f t="shared" si="6"/>
        <v>2</v>
      </c>
      <c r="G11" s="189">
        <f t="shared" si="0"/>
        <v>9</v>
      </c>
      <c r="H11" s="188" t="str">
        <f t="shared" si="1"/>
        <v>A</v>
      </c>
      <c r="I11" s="188">
        <f t="shared" si="2"/>
        <v>9</v>
      </c>
      <c r="J11" s="188">
        <f t="shared" si="3"/>
        <v>62</v>
      </c>
      <c r="K11" s="188" t="str">
        <f t="shared" si="4"/>
        <v>ok</v>
      </c>
    </row>
    <row r="12" spans="2:11" x14ac:dyDescent="0.25">
      <c r="E12" s="189">
        <f t="shared" si="5"/>
        <v>1</v>
      </c>
      <c r="F12" s="189">
        <f t="shared" si="6"/>
        <v>3</v>
      </c>
      <c r="G12" s="189">
        <f t="shared" si="0"/>
        <v>17</v>
      </c>
      <c r="H12" s="188" t="str">
        <f t="shared" si="1"/>
        <v>A</v>
      </c>
      <c r="I12" s="188">
        <f t="shared" si="2"/>
        <v>17</v>
      </c>
      <c r="J12" s="188">
        <f t="shared" si="3"/>
        <v>54</v>
      </c>
      <c r="K12" s="188" t="str">
        <f t="shared" si="4"/>
        <v>ok</v>
      </c>
    </row>
    <row r="13" spans="2:11" x14ac:dyDescent="0.25">
      <c r="E13" s="189">
        <f t="shared" si="5"/>
        <v>1</v>
      </c>
      <c r="F13" s="189">
        <f t="shared" si="6"/>
        <v>4</v>
      </c>
      <c r="G13" s="189">
        <f t="shared" si="0"/>
        <v>25</v>
      </c>
      <c r="H13" s="188" t="str">
        <f t="shared" si="1"/>
        <v>A</v>
      </c>
      <c r="I13" s="188">
        <f t="shared" si="2"/>
        <v>25</v>
      </c>
      <c r="J13" s="188">
        <f t="shared" si="3"/>
        <v>46</v>
      </c>
      <c r="K13" s="188" t="str">
        <f t="shared" si="4"/>
        <v>ok</v>
      </c>
    </row>
    <row r="14" spans="2:11" x14ac:dyDescent="0.25">
      <c r="E14" s="189">
        <f t="shared" si="5"/>
        <v>1</v>
      </c>
      <c r="F14" s="189">
        <f t="shared" si="6"/>
        <v>5</v>
      </c>
      <c r="G14" s="189">
        <f t="shared" si="0"/>
        <v>33</v>
      </c>
      <c r="H14" s="188" t="str">
        <f t="shared" si="1"/>
        <v>A</v>
      </c>
      <c r="I14" s="188">
        <f t="shared" si="2"/>
        <v>33</v>
      </c>
      <c r="J14" s="188">
        <f t="shared" si="3"/>
        <v>38</v>
      </c>
      <c r="K14" s="188" t="str">
        <f t="shared" si="4"/>
        <v>ok</v>
      </c>
    </row>
    <row r="15" spans="2:11" x14ac:dyDescent="0.25">
      <c r="E15" s="189">
        <f t="shared" si="5"/>
        <v>1</v>
      </c>
      <c r="F15" s="189">
        <f t="shared" si="6"/>
        <v>6</v>
      </c>
      <c r="G15" s="189">
        <f t="shared" si="0"/>
        <v>30</v>
      </c>
      <c r="H15" s="188" t="str">
        <f t="shared" si="1"/>
        <v>B</v>
      </c>
      <c r="I15" s="188">
        <f t="shared" si="2"/>
        <v>41</v>
      </c>
      <c r="J15" s="188">
        <f t="shared" si="3"/>
        <v>30</v>
      </c>
      <c r="K15" s="188" t="str">
        <f t="shared" si="4"/>
        <v>ok</v>
      </c>
    </row>
    <row r="16" spans="2:11" x14ac:dyDescent="0.25">
      <c r="E16" s="189">
        <f t="shared" si="5"/>
        <v>1</v>
      </c>
      <c r="F16" s="189">
        <f t="shared" si="6"/>
        <v>7</v>
      </c>
      <c r="G16" s="189">
        <f t="shared" si="0"/>
        <v>22</v>
      </c>
      <c r="H16" s="188" t="str">
        <f t="shared" si="1"/>
        <v>B</v>
      </c>
      <c r="I16" s="188">
        <f t="shared" si="2"/>
        <v>49</v>
      </c>
      <c r="J16" s="188">
        <f t="shared" si="3"/>
        <v>22</v>
      </c>
      <c r="K16" s="188" t="str">
        <f t="shared" si="4"/>
        <v>ok</v>
      </c>
    </row>
    <row r="17" spans="5:11" x14ac:dyDescent="0.25">
      <c r="E17" s="189">
        <f t="shared" si="5"/>
        <v>2</v>
      </c>
      <c r="F17" s="189">
        <f t="shared" si="6"/>
        <v>1</v>
      </c>
      <c r="G17" s="189">
        <f t="shared" si="0"/>
        <v>2</v>
      </c>
      <c r="H17" s="188" t="str">
        <f t="shared" si="1"/>
        <v>A</v>
      </c>
      <c r="I17" s="188">
        <f t="shared" si="2"/>
        <v>2</v>
      </c>
      <c r="J17" s="188">
        <f t="shared" si="3"/>
        <v>69</v>
      </c>
      <c r="K17" s="188" t="str">
        <f t="shared" si="4"/>
        <v>ok</v>
      </c>
    </row>
    <row r="18" spans="5:11" x14ac:dyDescent="0.25">
      <c r="E18" s="189">
        <f t="shared" si="5"/>
        <v>2</v>
      </c>
      <c r="F18" s="189">
        <f t="shared" si="6"/>
        <v>2</v>
      </c>
      <c r="G18" s="189">
        <f t="shared" si="0"/>
        <v>10</v>
      </c>
      <c r="H18" s="188" t="str">
        <f t="shared" si="1"/>
        <v>A</v>
      </c>
      <c r="I18" s="188">
        <f t="shared" si="2"/>
        <v>10</v>
      </c>
      <c r="J18" s="188">
        <f t="shared" si="3"/>
        <v>61</v>
      </c>
      <c r="K18" s="188" t="str">
        <f t="shared" si="4"/>
        <v>ok</v>
      </c>
    </row>
    <row r="19" spans="5:11" x14ac:dyDescent="0.25">
      <c r="E19" s="189">
        <f t="shared" si="5"/>
        <v>2</v>
      </c>
      <c r="F19" s="189">
        <f t="shared" si="6"/>
        <v>3</v>
      </c>
      <c r="G19" s="189">
        <f t="shared" si="0"/>
        <v>18</v>
      </c>
      <c r="H19" s="188" t="str">
        <f t="shared" si="1"/>
        <v>A</v>
      </c>
      <c r="I19" s="188">
        <f t="shared" si="2"/>
        <v>18</v>
      </c>
      <c r="J19" s="188">
        <f t="shared" si="3"/>
        <v>53</v>
      </c>
      <c r="K19" s="188" t="str">
        <f t="shared" si="4"/>
        <v>ok</v>
      </c>
    </row>
    <row r="20" spans="5:11" x14ac:dyDescent="0.25">
      <c r="E20" s="189">
        <f t="shared" si="5"/>
        <v>2</v>
      </c>
      <c r="F20" s="189">
        <f t="shared" si="6"/>
        <v>4</v>
      </c>
      <c r="G20" s="189">
        <f t="shared" si="0"/>
        <v>26</v>
      </c>
      <c r="H20" s="188" t="str">
        <f t="shared" si="1"/>
        <v>A</v>
      </c>
      <c r="I20" s="188">
        <f t="shared" si="2"/>
        <v>26</v>
      </c>
      <c r="J20" s="188">
        <f t="shared" si="3"/>
        <v>45</v>
      </c>
      <c r="K20" s="188" t="str">
        <f t="shared" si="4"/>
        <v>ok</v>
      </c>
    </row>
    <row r="21" spans="5:11" x14ac:dyDescent="0.25">
      <c r="E21" s="189">
        <f t="shared" si="5"/>
        <v>2</v>
      </c>
      <c r="F21" s="189">
        <f t="shared" si="6"/>
        <v>5</v>
      </c>
      <c r="G21" s="189">
        <f t="shared" si="0"/>
        <v>34</v>
      </c>
      <c r="H21" s="188" t="str">
        <f t="shared" si="1"/>
        <v>A</v>
      </c>
      <c r="I21" s="188">
        <f t="shared" si="2"/>
        <v>34</v>
      </c>
      <c r="J21" s="188">
        <f t="shared" si="3"/>
        <v>37</v>
      </c>
      <c r="K21" s="188" t="str">
        <f t="shared" si="4"/>
        <v>ok</v>
      </c>
    </row>
    <row r="22" spans="5:11" x14ac:dyDescent="0.25">
      <c r="E22" s="189">
        <f t="shared" si="5"/>
        <v>2</v>
      </c>
      <c r="F22" s="189">
        <f t="shared" si="6"/>
        <v>6</v>
      </c>
      <c r="G22" s="189">
        <f t="shared" si="0"/>
        <v>29</v>
      </c>
      <c r="H22" s="188" t="str">
        <f t="shared" si="1"/>
        <v>B</v>
      </c>
      <c r="I22" s="188">
        <f t="shared" si="2"/>
        <v>42</v>
      </c>
      <c r="J22" s="188">
        <f t="shared" si="3"/>
        <v>29</v>
      </c>
      <c r="K22" s="188" t="str">
        <f t="shared" si="4"/>
        <v>ok</v>
      </c>
    </row>
    <row r="23" spans="5:11" x14ac:dyDescent="0.25">
      <c r="E23" s="189">
        <f t="shared" si="5"/>
        <v>3</v>
      </c>
      <c r="F23" s="189">
        <f t="shared" si="6"/>
        <v>1</v>
      </c>
      <c r="G23" s="189">
        <f t="shared" si="0"/>
        <v>3</v>
      </c>
      <c r="H23" s="188" t="str">
        <f t="shared" si="1"/>
        <v>A</v>
      </c>
      <c r="I23" s="188">
        <f t="shared" si="2"/>
        <v>3</v>
      </c>
      <c r="J23" s="188">
        <f t="shared" si="3"/>
        <v>68</v>
      </c>
      <c r="K23" s="188" t="str">
        <f t="shared" si="4"/>
        <v>ok</v>
      </c>
    </row>
    <row r="24" spans="5:11" x14ac:dyDescent="0.25">
      <c r="E24" s="189">
        <f t="shared" si="5"/>
        <v>3</v>
      </c>
      <c r="F24" s="189">
        <f t="shared" si="6"/>
        <v>2</v>
      </c>
      <c r="G24" s="189">
        <f t="shared" si="0"/>
        <v>11</v>
      </c>
      <c r="H24" s="188" t="str">
        <f t="shared" si="1"/>
        <v>A</v>
      </c>
      <c r="I24" s="188">
        <f t="shared" si="2"/>
        <v>11</v>
      </c>
      <c r="J24" s="188">
        <f t="shared" si="3"/>
        <v>60</v>
      </c>
      <c r="K24" s="188" t="str">
        <f t="shared" si="4"/>
        <v>ok</v>
      </c>
    </row>
    <row r="25" spans="5:11" x14ac:dyDescent="0.25">
      <c r="E25" s="189">
        <f t="shared" si="5"/>
        <v>3</v>
      </c>
      <c r="F25" s="189">
        <f t="shared" si="6"/>
        <v>3</v>
      </c>
      <c r="G25" s="189">
        <f t="shared" si="0"/>
        <v>19</v>
      </c>
      <c r="H25" s="188" t="str">
        <f t="shared" si="1"/>
        <v>A</v>
      </c>
      <c r="I25" s="188">
        <f t="shared" si="2"/>
        <v>19</v>
      </c>
      <c r="J25" s="188">
        <f t="shared" si="3"/>
        <v>52</v>
      </c>
      <c r="K25" s="188" t="str">
        <f t="shared" si="4"/>
        <v>ok</v>
      </c>
    </row>
    <row r="26" spans="5:11" x14ac:dyDescent="0.25">
      <c r="E26" s="189">
        <f t="shared" si="5"/>
        <v>3</v>
      </c>
      <c r="F26" s="189">
        <f t="shared" si="6"/>
        <v>4</v>
      </c>
      <c r="G26" s="189">
        <f t="shared" si="0"/>
        <v>27</v>
      </c>
      <c r="H26" s="188" t="str">
        <f t="shared" si="1"/>
        <v>A</v>
      </c>
      <c r="I26" s="188">
        <f t="shared" si="2"/>
        <v>27</v>
      </c>
      <c r="J26" s="188">
        <f t="shared" si="3"/>
        <v>44</v>
      </c>
      <c r="K26" s="188" t="str">
        <f t="shared" si="4"/>
        <v>ok</v>
      </c>
    </row>
    <row r="27" spans="5:11" x14ac:dyDescent="0.25">
      <c r="E27" s="189">
        <f t="shared" si="5"/>
        <v>3</v>
      </c>
      <c r="F27" s="189">
        <f t="shared" si="6"/>
        <v>5</v>
      </c>
      <c r="G27" s="189">
        <f t="shared" si="0"/>
        <v>35</v>
      </c>
      <c r="H27" s="188" t="str">
        <f t="shared" si="1"/>
        <v>A</v>
      </c>
      <c r="I27" s="188">
        <f t="shared" si="2"/>
        <v>35</v>
      </c>
      <c r="J27" s="188">
        <f t="shared" si="3"/>
        <v>36</v>
      </c>
      <c r="K27" s="188" t="str">
        <f t="shared" si="4"/>
        <v>ok</v>
      </c>
    </row>
    <row r="28" spans="5:11" x14ac:dyDescent="0.25">
      <c r="E28" s="189">
        <f t="shared" si="5"/>
        <v>4</v>
      </c>
      <c r="F28" s="189">
        <f t="shared" si="6"/>
        <v>1</v>
      </c>
      <c r="G28" s="189">
        <f t="shared" si="0"/>
        <v>4</v>
      </c>
      <c r="H28" s="188" t="str">
        <f t="shared" si="1"/>
        <v>A</v>
      </c>
      <c r="I28" s="188">
        <f t="shared" si="2"/>
        <v>4</v>
      </c>
      <c r="J28" s="188">
        <f t="shared" si="3"/>
        <v>67</v>
      </c>
      <c r="K28" s="188" t="str">
        <f t="shared" si="4"/>
        <v>ok</v>
      </c>
    </row>
    <row r="29" spans="5:11" x14ac:dyDescent="0.25">
      <c r="E29" s="189">
        <f t="shared" si="5"/>
        <v>4</v>
      </c>
      <c r="F29" s="189">
        <f t="shared" si="6"/>
        <v>2</v>
      </c>
      <c r="G29" s="189">
        <f t="shared" si="0"/>
        <v>12</v>
      </c>
      <c r="H29" s="188" t="str">
        <f t="shared" si="1"/>
        <v>A</v>
      </c>
      <c r="I29" s="188">
        <f t="shared" si="2"/>
        <v>12</v>
      </c>
      <c r="J29" s="188">
        <f t="shared" si="3"/>
        <v>59</v>
      </c>
      <c r="K29" s="188" t="str">
        <f t="shared" si="4"/>
        <v>ok</v>
      </c>
    </row>
    <row r="30" spans="5:11" x14ac:dyDescent="0.25">
      <c r="E30" s="189">
        <f t="shared" si="5"/>
        <v>4</v>
      </c>
      <c r="F30" s="189">
        <f t="shared" si="6"/>
        <v>3</v>
      </c>
      <c r="G30" s="189">
        <f t="shared" si="0"/>
        <v>20</v>
      </c>
      <c r="H30" s="188" t="str">
        <f t="shared" si="1"/>
        <v>A</v>
      </c>
      <c r="I30" s="188">
        <f t="shared" si="2"/>
        <v>20</v>
      </c>
      <c r="J30" s="188">
        <f t="shared" si="3"/>
        <v>51</v>
      </c>
      <c r="K30" s="188" t="str">
        <f t="shared" si="4"/>
        <v>ok</v>
      </c>
    </row>
    <row r="31" spans="5:11" x14ac:dyDescent="0.25">
      <c r="E31" s="189">
        <f t="shared" si="5"/>
        <v>4</v>
      </c>
      <c r="F31" s="189">
        <f t="shared" si="6"/>
        <v>4</v>
      </c>
      <c r="G31" s="189">
        <f t="shared" si="0"/>
        <v>28</v>
      </c>
      <c r="H31" s="188" t="str">
        <f t="shared" si="1"/>
        <v>A</v>
      </c>
      <c r="I31" s="188">
        <f t="shared" si="2"/>
        <v>28</v>
      </c>
      <c r="J31" s="188">
        <f t="shared" si="3"/>
        <v>43</v>
      </c>
      <c r="K31" s="188" t="str">
        <f t="shared" si="4"/>
        <v>ok</v>
      </c>
    </row>
    <row r="32" spans="5:11" x14ac:dyDescent="0.25">
      <c r="E32" s="189">
        <f t="shared" si="5"/>
        <v>5</v>
      </c>
      <c r="F32" s="189">
        <f t="shared" si="6"/>
        <v>1</v>
      </c>
      <c r="G32" s="189">
        <f t="shared" si="0"/>
        <v>5</v>
      </c>
      <c r="H32" s="188" t="str">
        <f t="shared" si="1"/>
        <v>A</v>
      </c>
      <c r="I32" s="188">
        <f t="shared" si="2"/>
        <v>5</v>
      </c>
      <c r="J32" s="188">
        <f t="shared" si="3"/>
        <v>66</v>
      </c>
      <c r="K32" s="188" t="str">
        <f t="shared" si="4"/>
        <v>ok</v>
      </c>
    </row>
    <row r="33" spans="5:11" x14ac:dyDescent="0.25">
      <c r="E33" s="189">
        <f t="shared" si="5"/>
        <v>5</v>
      </c>
      <c r="F33" s="189">
        <f t="shared" si="6"/>
        <v>2</v>
      </c>
      <c r="G33" s="189">
        <f t="shared" si="0"/>
        <v>13</v>
      </c>
      <c r="H33" s="188" t="str">
        <f t="shared" si="1"/>
        <v>A</v>
      </c>
      <c r="I33" s="188">
        <f t="shared" si="2"/>
        <v>13</v>
      </c>
      <c r="J33" s="188">
        <f t="shared" si="3"/>
        <v>58</v>
      </c>
      <c r="K33" s="188" t="str">
        <f t="shared" si="4"/>
        <v>ok</v>
      </c>
    </row>
    <row r="34" spans="5:11" x14ac:dyDescent="0.25">
      <c r="E34" s="189">
        <f t="shared" si="5"/>
        <v>5</v>
      </c>
      <c r="F34" s="189">
        <f t="shared" si="6"/>
        <v>3</v>
      </c>
      <c r="G34" s="189">
        <f t="shared" si="0"/>
        <v>21</v>
      </c>
      <c r="H34" s="188" t="str">
        <f t="shared" si="1"/>
        <v>A</v>
      </c>
      <c r="I34" s="188">
        <f t="shared" si="2"/>
        <v>21</v>
      </c>
      <c r="J34" s="188">
        <f t="shared" si="3"/>
        <v>50</v>
      </c>
      <c r="K34" s="188" t="str">
        <f t="shared" si="4"/>
        <v>ok</v>
      </c>
    </row>
    <row r="35" spans="5:11" x14ac:dyDescent="0.25">
      <c r="E35" s="189">
        <f t="shared" si="5"/>
        <v>6</v>
      </c>
      <c r="F35" s="189">
        <f t="shared" si="6"/>
        <v>1</v>
      </c>
      <c r="G35" s="189">
        <f t="shared" si="0"/>
        <v>6</v>
      </c>
      <c r="H35" s="188" t="str">
        <f t="shared" si="1"/>
        <v>A</v>
      </c>
      <c r="I35" s="188">
        <f t="shared" si="2"/>
        <v>6</v>
      </c>
      <c r="J35" s="188">
        <f t="shared" si="3"/>
        <v>65</v>
      </c>
      <c r="K35" s="188" t="str">
        <f t="shared" si="4"/>
        <v>ok</v>
      </c>
    </row>
    <row r="36" spans="5:11" x14ac:dyDescent="0.25">
      <c r="E36" s="189">
        <f t="shared" si="5"/>
        <v>6</v>
      </c>
      <c r="F36" s="189">
        <f t="shared" si="6"/>
        <v>2</v>
      </c>
      <c r="G36" s="189">
        <f t="shared" si="0"/>
        <v>14</v>
      </c>
      <c r="H36" s="188" t="str">
        <f t="shared" si="1"/>
        <v>A</v>
      </c>
      <c r="I36" s="188">
        <f t="shared" si="2"/>
        <v>14</v>
      </c>
      <c r="J36" s="188">
        <f t="shared" si="3"/>
        <v>57</v>
      </c>
      <c r="K36" s="188" t="str">
        <f t="shared" si="4"/>
        <v>ok</v>
      </c>
    </row>
    <row r="37" spans="5:11" x14ac:dyDescent="0.25">
      <c r="E37" s="189">
        <f t="shared" si="5"/>
        <v>7</v>
      </c>
      <c r="F37" s="189">
        <f t="shared" si="6"/>
        <v>1</v>
      </c>
      <c r="G37" s="189">
        <f t="shared" si="0"/>
        <v>7</v>
      </c>
      <c r="H37" s="188" t="str">
        <f t="shared" si="1"/>
        <v>A</v>
      </c>
      <c r="I37" s="188">
        <f t="shared" si="2"/>
        <v>7</v>
      </c>
      <c r="J37" s="188">
        <f t="shared" si="3"/>
        <v>64</v>
      </c>
      <c r="K37" s="188" t="str">
        <f t="shared" si="4"/>
        <v>ok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Fig_Channel</vt:lpstr>
      <vt:lpstr>Fig_PCH n257</vt:lpstr>
      <vt:lpstr>Freq Block</vt:lpstr>
      <vt:lpstr>Timing advance</vt:lpstr>
      <vt:lpstr>SSB and CORESET#0</vt:lpstr>
      <vt:lpstr>DCI 1_0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</dc:creator>
  <cp:lastModifiedBy>Arturo Azcorra</cp:lastModifiedBy>
  <dcterms:created xsi:type="dcterms:W3CDTF">2023-07-19T12:32:44Z</dcterms:created>
  <dcterms:modified xsi:type="dcterms:W3CDTF">2025-10-06T10:23:09Z</dcterms:modified>
</cp:coreProperties>
</file>